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95" activeTab="2"/>
  </bookViews>
  <sheets>
    <sheet name="Estimation" sheetId="2" r:id="rId1"/>
    <sheet name="Comparative" sheetId="3" r:id="rId2"/>
    <sheet name="Budget template" sheetId="5" r:id="rId3"/>
    <sheet name="Look-up tables" sheetId="4" state="hidden" r:id="rId4"/>
  </sheets>
  <definedNames>
    <definedName name="_xlnm.Print_Area" localSheetId="2">'Budget template'!$A$1:$D$61</definedName>
    <definedName name="_xlnm.Print_Area" localSheetId="1">Comparative!$A$1:$I$99</definedName>
    <definedName name="_xlnm.Print_Area" localSheetId="0">Estimation!$A$1:$I$91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2" l="1"/>
  <c r="D32" i="2"/>
  <c r="F32" i="2"/>
  <c r="F24" i="2"/>
  <c r="F22" i="2" s="1"/>
  <c r="D9" i="2"/>
  <c r="F9" i="2"/>
  <c r="D10" i="2"/>
  <c r="D13" i="2" s="1"/>
  <c r="F10" i="2"/>
  <c r="D11" i="2"/>
  <c r="D12" i="2" s="1"/>
  <c r="F11" i="2"/>
  <c r="F12" i="2" s="1"/>
  <c r="D24" i="2"/>
  <c r="D22" i="2" s="1"/>
  <c r="F13" i="2" l="1"/>
  <c r="F14" i="2" s="1"/>
  <c r="D8" i="2"/>
  <c r="D14" i="2"/>
  <c r="F8" i="2"/>
  <c r="B24" i="2" l="1"/>
  <c r="B22" i="2" l="1"/>
  <c r="B42" i="2" l="1"/>
  <c r="D15" i="3" l="1"/>
  <c r="F15" i="3"/>
  <c r="B15" i="3"/>
  <c r="B9" i="3"/>
  <c r="B31" i="3"/>
  <c r="B29" i="3" s="1"/>
  <c r="D9" i="3"/>
  <c r="F9" i="3"/>
  <c r="D10" i="3"/>
  <c r="F10" i="3"/>
  <c r="B10" i="3"/>
  <c r="F39" i="3"/>
  <c r="F50" i="3" s="1"/>
  <c r="D39" i="3"/>
  <c r="D50" i="3" s="1"/>
  <c r="B39" i="3"/>
  <c r="B50" i="3" s="1"/>
  <c r="F31" i="3"/>
  <c r="F29" i="3" s="1"/>
  <c r="D31" i="3"/>
  <c r="D29" i="3" s="1"/>
  <c r="F14" i="3"/>
  <c r="D14" i="3"/>
  <c r="B14" i="3"/>
  <c r="B11" i="3" l="1"/>
  <c r="B16" i="3" s="1"/>
  <c r="B17" i="3" s="1"/>
  <c r="D11" i="3"/>
  <c r="D16" i="3" s="1"/>
  <c r="D17" i="3" s="1"/>
  <c r="F11" i="3"/>
  <c r="F16" i="3" s="1"/>
  <c r="F17" i="3" s="1"/>
  <c r="D12" i="3"/>
  <c r="B12" i="3"/>
  <c r="F12" i="3"/>
  <c r="B9" i="2"/>
  <c r="B11" i="2"/>
  <c r="B12" i="2" s="1"/>
  <c r="B10" i="2"/>
  <c r="B13" i="2" s="1"/>
  <c r="F42" i="2"/>
  <c r="D42" i="2"/>
  <c r="B14" i="2" l="1"/>
  <c r="F8" i="3"/>
  <c r="B8" i="3"/>
  <c r="D8" i="3"/>
  <c r="B8" i="2"/>
  <c r="F38" i="2" l="1"/>
  <c r="F39" i="2" s="1"/>
  <c r="F40" i="2"/>
  <c r="F41" i="2"/>
  <c r="F76" i="2" s="1"/>
  <c r="D41" i="2"/>
  <c r="D38" i="2"/>
  <c r="D39" i="2" s="1"/>
  <c r="D40" i="2"/>
  <c r="F46" i="3"/>
  <c r="F48" i="3"/>
  <c r="F49" i="3"/>
  <c r="F75" i="3" s="1"/>
  <c r="F47" i="3"/>
  <c r="F82" i="3" s="1"/>
  <c r="F83" i="3" s="1"/>
  <c r="F87" i="3" s="1"/>
  <c r="B47" i="3"/>
  <c r="B82" i="3" s="1"/>
  <c r="B48" i="3"/>
  <c r="B49" i="3"/>
  <c r="B80" i="3" s="1"/>
  <c r="B46" i="3"/>
  <c r="D47" i="3"/>
  <c r="D82" i="3" s="1"/>
  <c r="D46" i="3"/>
  <c r="D48" i="3"/>
  <c r="D49" i="3"/>
  <c r="D77" i="3" s="1"/>
  <c r="B41" i="2"/>
  <c r="B40" i="2"/>
  <c r="B38" i="2"/>
  <c r="B39" i="2" s="1"/>
  <c r="F57" i="2" l="1"/>
  <c r="F56" i="2"/>
  <c r="F52" i="2"/>
  <c r="F55" i="2"/>
  <c r="F66" i="2"/>
  <c r="F43" i="2"/>
  <c r="F70" i="2"/>
  <c r="F71" i="2" s="1"/>
  <c r="F49" i="2"/>
  <c r="F53" i="2"/>
  <c r="F77" i="2"/>
  <c r="F50" i="2"/>
  <c r="F78" i="2"/>
  <c r="F54" i="2"/>
  <c r="F67" i="2"/>
  <c r="F69" i="2"/>
  <c r="F72" i="2"/>
  <c r="F73" i="2" s="1"/>
  <c r="F74" i="2"/>
  <c r="F75" i="2" s="1"/>
  <c r="F58" i="2"/>
  <c r="F68" i="2"/>
  <c r="F51" i="2"/>
  <c r="F78" i="3"/>
  <c r="F79" i="3" s="1"/>
  <c r="F58" i="3"/>
  <c r="B74" i="3"/>
  <c r="B64" i="3"/>
  <c r="F80" i="3"/>
  <c r="F81" i="3" s="1"/>
  <c r="F60" i="3"/>
  <c r="B78" i="3"/>
  <c r="B79" i="3" s="1"/>
  <c r="B60" i="3"/>
  <c r="B77" i="3"/>
  <c r="B65" i="3"/>
  <c r="B61" i="3"/>
  <c r="B83" i="3"/>
  <c r="B57" i="3"/>
  <c r="B85" i="3"/>
  <c r="B51" i="3"/>
  <c r="B62" i="3"/>
  <c r="F51" i="3"/>
  <c r="F59" i="3"/>
  <c r="F65" i="3"/>
  <c r="F66" i="3"/>
  <c r="F64" i="3"/>
  <c r="F76" i="3"/>
  <c r="F74" i="3"/>
  <c r="F62" i="3"/>
  <c r="F86" i="3"/>
  <c r="F77" i="3"/>
  <c r="F57" i="3"/>
  <c r="F63" i="3"/>
  <c r="F84" i="3"/>
  <c r="F61" i="3"/>
  <c r="F85" i="3"/>
  <c r="B59" i="3"/>
  <c r="B81" i="3"/>
  <c r="B86" i="3"/>
  <c r="B75" i="3"/>
  <c r="B63" i="3"/>
  <c r="B76" i="3"/>
  <c r="B58" i="3"/>
  <c r="B66" i="3"/>
  <c r="B84" i="3"/>
  <c r="D51" i="3"/>
  <c r="D78" i="3"/>
  <c r="D79" i="3" s="1"/>
  <c r="D59" i="3"/>
  <c r="D80" i="3"/>
  <c r="D81" i="3" s="1"/>
  <c r="D86" i="3"/>
  <c r="D60" i="3"/>
  <c r="D74" i="3"/>
  <c r="D75" i="3"/>
  <c r="D85" i="3"/>
  <c r="D43" i="2"/>
  <c r="D77" i="2"/>
  <c r="D69" i="2"/>
  <c r="D57" i="2"/>
  <c r="D53" i="2"/>
  <c r="D49" i="2"/>
  <c r="D74" i="2"/>
  <c r="D75" i="2" s="1"/>
  <c r="D66" i="2"/>
  <c r="D54" i="2"/>
  <c r="D76" i="2"/>
  <c r="D72" i="2"/>
  <c r="D73" i="2" s="1"/>
  <c r="D68" i="2"/>
  <c r="D56" i="2"/>
  <c r="D52" i="2"/>
  <c r="D50" i="2"/>
  <c r="D67" i="2"/>
  <c r="D55" i="2"/>
  <c r="D51" i="2"/>
  <c r="D78" i="2"/>
  <c r="D70" i="2"/>
  <c r="D71" i="2" s="1"/>
  <c r="D58" i="2"/>
  <c r="B43" i="2"/>
  <c r="B78" i="2"/>
  <c r="B74" i="2"/>
  <c r="B75" i="2" s="1"/>
  <c r="B70" i="2"/>
  <c r="B71" i="2" s="1"/>
  <c r="B66" i="2"/>
  <c r="B57" i="2"/>
  <c r="B51" i="2"/>
  <c r="B67" i="2"/>
  <c r="B77" i="2"/>
  <c r="B69" i="2"/>
  <c r="B53" i="2"/>
  <c r="B56" i="2"/>
  <c r="B50" i="2"/>
  <c r="B52" i="2"/>
  <c r="B76" i="2"/>
  <c r="B72" i="2"/>
  <c r="B73" i="2" s="1"/>
  <c r="B68" i="2"/>
  <c r="B54" i="2"/>
  <c r="B49" i="2"/>
  <c r="B58" i="2"/>
  <c r="B55" i="2"/>
  <c r="F89" i="3"/>
  <c r="F67" i="3"/>
  <c r="F69" i="3" s="1"/>
  <c r="D66" i="3"/>
  <c r="D57" i="3"/>
  <c r="D65" i="3"/>
  <c r="D76" i="3"/>
  <c r="D58" i="3"/>
  <c r="D84" i="3"/>
  <c r="D64" i="3"/>
  <c r="D63" i="3"/>
  <c r="D61" i="3"/>
  <c r="D62" i="3"/>
  <c r="D83" i="3"/>
  <c r="B67" i="3"/>
  <c r="B69" i="3" s="1"/>
  <c r="B87" i="3"/>
  <c r="B89" i="3" s="1"/>
  <c r="F79" i="2" l="1"/>
  <c r="F81" i="2"/>
  <c r="F59" i="2"/>
  <c r="F61" i="2" s="1"/>
  <c r="D59" i="2"/>
  <c r="D61" i="2" s="1"/>
  <c r="D79" i="2"/>
  <c r="D81" i="2" s="1"/>
  <c r="B59" i="2"/>
  <c r="B61" i="2" s="1"/>
  <c r="B79" i="2"/>
  <c r="B81" i="2" s="1"/>
  <c r="D67" i="3"/>
  <c r="D69" i="3" s="1"/>
  <c r="D87" i="3"/>
  <c r="D89" i="3" s="1"/>
</calcChain>
</file>

<file path=xl/sharedStrings.xml><?xml version="1.0" encoding="utf-8"?>
<sst xmlns="http://schemas.openxmlformats.org/spreadsheetml/2006/main" count="304" uniqueCount="198">
  <si>
    <t>(B1)</t>
  </si>
  <si>
    <t>(B2)</t>
  </si>
  <si>
    <t>(B3)</t>
  </si>
  <si>
    <t>(B4)</t>
  </si>
  <si>
    <t>General description:</t>
  </si>
  <si>
    <t xml:space="preserve">Statistical desciption: </t>
  </si>
  <si>
    <t>Scenario 1</t>
  </si>
  <si>
    <t>Scenario 2</t>
  </si>
  <si>
    <t>Scenario 3</t>
  </si>
  <si>
    <t>Number of clusters per stratum</t>
  </si>
  <si>
    <t>Total number of clusters</t>
  </si>
  <si>
    <t>D x E x m</t>
  </si>
  <si>
    <t>(D)</t>
  </si>
  <si>
    <t>(C2)</t>
  </si>
  <si>
    <t>(C1)</t>
  </si>
  <si>
    <t xml:space="preserve">(C) </t>
  </si>
  <si>
    <t>(A)</t>
  </si>
  <si>
    <t>(B)</t>
  </si>
  <si>
    <t>Number of strata (N_strata):</t>
  </si>
  <si>
    <t>Effective sample size (ESS):</t>
  </si>
  <si>
    <r>
      <rPr>
        <b/>
        <sz val="11"/>
        <color theme="1"/>
        <rFont val="Calibri"/>
        <family val="2"/>
        <scheme val="minor"/>
      </rPr>
      <t>Alpha (</t>
    </r>
    <r>
      <rPr>
        <b/>
        <sz val="11"/>
        <color theme="1"/>
        <rFont val="Calibri"/>
        <family val="2"/>
      </rPr>
      <t>α</t>
    </r>
    <r>
      <rPr>
        <b/>
        <sz val="11"/>
        <color theme="1"/>
        <rFont val="Calibri"/>
        <family val="2"/>
        <scheme val="minor"/>
      </rPr>
      <t xml:space="preserve">): </t>
    </r>
    <r>
      <rPr>
        <sz val="11"/>
        <color theme="1"/>
        <rFont val="Calibri"/>
        <family val="2"/>
        <scheme val="minor"/>
      </rPr>
      <t xml:space="preserve"> </t>
    </r>
  </si>
  <si>
    <t xml:space="preserve">Design effect (DEFF): </t>
  </si>
  <si>
    <r>
      <rPr>
        <b/>
        <sz val="11"/>
        <color theme="1"/>
        <rFont val="Calibri"/>
        <family val="2"/>
        <scheme val="minor"/>
      </rPr>
      <t>Intracluster correlation coefficient (ICC):</t>
    </r>
    <r>
      <rPr>
        <sz val="11"/>
        <color theme="1"/>
        <rFont val="Calibri"/>
        <family val="2"/>
        <scheme val="minor"/>
      </rPr>
      <t xml:space="preserve"> </t>
    </r>
  </si>
  <si>
    <t xml:space="preserve">Average number of households to visit to find 1 eligble respondent: </t>
  </si>
  <si>
    <r>
      <rPr>
        <b/>
        <sz val="11"/>
        <color theme="1"/>
        <rFont val="Calibri"/>
        <family val="2"/>
        <scheme val="minor"/>
      </rPr>
      <t>Target number of respondents per cluster (m):</t>
    </r>
    <r>
      <rPr>
        <sz val="11"/>
        <color theme="1"/>
        <rFont val="Calibri"/>
        <family val="2"/>
        <scheme val="minor"/>
      </rPr>
      <t xml:space="preserve"> </t>
    </r>
  </si>
  <si>
    <t>Vaccination Coverage Survey Guidelines</t>
  </si>
  <si>
    <t>Google Scholar</t>
  </si>
  <si>
    <t xml:space="preserve">(E) </t>
  </si>
  <si>
    <t>(E1)</t>
  </si>
  <si>
    <t>Total completed interviews needed</t>
  </si>
  <si>
    <t>B x C / m</t>
  </si>
  <si>
    <t>Number of households per cluster</t>
  </si>
  <si>
    <t>Direction</t>
  </si>
  <si>
    <t>Above</t>
  </si>
  <si>
    <t>Below</t>
  </si>
  <si>
    <t>Alpha</t>
  </si>
  <si>
    <t>Power</t>
  </si>
  <si>
    <t>z_1-B</t>
  </si>
  <si>
    <t>n_prime</t>
  </si>
  <si>
    <t>n</t>
  </si>
  <si>
    <t>Num. clusters per stratum x A</t>
  </si>
  <si>
    <t>Estimation Question</t>
  </si>
  <si>
    <t>Desired precision (half width of the confidence interval):</t>
  </si>
  <si>
    <t>Expected coverage:</t>
  </si>
  <si>
    <t>d</t>
  </si>
  <si>
    <t>z_1-a/2</t>
  </si>
  <si>
    <t>(z_1-a/2)^2</t>
  </si>
  <si>
    <t>k</t>
  </si>
  <si>
    <t>p</t>
  </si>
  <si>
    <t>Comparative Question</t>
  </si>
  <si>
    <t>Identically sized surveys:</t>
  </si>
  <si>
    <t>Yes_No</t>
  </si>
  <si>
    <t>Yes</t>
  </si>
  <si>
    <t>No</t>
  </si>
  <si>
    <t>Select "Yes" if measuring differences between (1)  subgroups in a single survey (such as urban and rural), (2)  two simultaneous surveys (one survey in each place, Province A and Province B), or (3) between results of two surveys conducted at different time points in the future (that is, changes over time). Select "No" if measuring the differences between an existing survey and a future survey (not recommended).</t>
  </si>
  <si>
    <t>Expected coverage: Group 1</t>
  </si>
  <si>
    <t>Expected coverage: Group 2</t>
  </si>
  <si>
    <t>p1</t>
  </si>
  <si>
    <t>p2</t>
  </si>
  <si>
    <t>r</t>
  </si>
  <si>
    <t>P_bar</t>
  </si>
  <si>
    <r>
      <rPr>
        <b/>
        <sz val="11"/>
        <color theme="1"/>
        <rFont val="Calibri"/>
        <family val="2"/>
        <scheme val="minor"/>
      </rPr>
      <t>Power (1-</t>
    </r>
    <r>
      <rPr>
        <b/>
        <sz val="11"/>
        <color theme="1"/>
        <rFont val="Calibri"/>
        <family val="2"/>
      </rPr>
      <t>β)</t>
    </r>
    <r>
      <rPr>
        <sz val="11"/>
        <color theme="1"/>
        <rFont val="Calibri"/>
        <family val="2"/>
      </rPr>
      <t xml:space="preserve">: </t>
    </r>
  </si>
  <si>
    <t xml:space="preserve">Average number of households to visit to find 1 eligible respondent: </t>
  </si>
  <si>
    <t>Estimation refers to estimating coverage with a desired precision – that is, a desired maximum half-width of the 95% confidence interval.</t>
  </si>
  <si>
    <t>This is the desired half-width of the confidence interval around the estimated coverage indicator. For example, if you wish to make an estimate +/- 5%, then enter 0.05. Valid spreadsheet values range from 0.03 -0.1.</t>
  </si>
  <si>
    <t>Field Coordinator</t>
  </si>
  <si>
    <t>Technical planning committee</t>
  </si>
  <si>
    <t>Training</t>
  </si>
  <si>
    <t>Supplies</t>
  </si>
  <si>
    <t>Data entry</t>
  </si>
  <si>
    <t>Report writing and dissemination</t>
  </si>
  <si>
    <t>Administrative costs (10%)</t>
  </si>
  <si>
    <t>Sample size</t>
  </si>
  <si>
    <t>Data analysis (cost might be much higher in some countries)</t>
  </si>
  <si>
    <t>Total number of clusters (per group)</t>
  </si>
  <si>
    <t>Number of households per cluster (per group)</t>
  </si>
  <si>
    <t>Number of clusters per stratum (per group)</t>
  </si>
  <si>
    <t>Total completed interviews needed (per group)</t>
  </si>
  <si>
    <t>Very rough budget estimate to survey one group</t>
  </si>
  <si>
    <t>Communications</t>
  </si>
  <si>
    <t>Ground transportation</t>
  </si>
  <si>
    <t xml:space="preserve"> --- national small survey cost to scale</t>
  </si>
  <si>
    <t>TOTAL in USD**
Double this amount for cost to survey both groups</t>
  </si>
  <si>
    <t>Field staff*</t>
  </si>
  <si>
    <t>* Assumes 2 days for each enumerator to travel to and enumerate one cluster, and 1.2 days for each interviewer to travel to and interview 10 respondents in one same cluster</t>
  </si>
  <si>
    <t>** Does not include consultant fees or coordination visits</t>
  </si>
  <si>
    <t>Add equations for non-identical size groups later</t>
  </si>
  <si>
    <t>An estimation survey results in quantitative estimates in one or more groups.</t>
  </si>
  <si>
    <r>
      <rPr>
        <i/>
        <u/>
        <sz val="10"/>
        <color rgb="FF7F7F7F"/>
        <rFont val="Calibri"/>
        <family val="2"/>
        <scheme val="minor"/>
      </rPr>
      <t>Budg</t>
    </r>
    <r>
      <rPr>
        <i/>
        <u/>
        <sz val="10"/>
        <color theme="0" tint="-0.499984740745262"/>
        <rFont val="Calibri"/>
        <family val="2"/>
        <scheme val="minor"/>
      </rPr>
      <t>et</t>
    </r>
    <r>
      <rPr>
        <i/>
        <sz val="10"/>
        <color theme="0" tint="-0.499984740745262"/>
        <rFont val="Calibri"/>
        <family val="2"/>
        <scheme val="minor"/>
      </rPr>
      <t xml:space="preserve"> calculations are based on an exercise conducted by Dr. Felicity Cutts (London School of Hygiene and Tropical Medicine, London, UK) 
and Dr. Ali Si</t>
    </r>
    <r>
      <rPr>
        <i/>
        <sz val="10"/>
        <color theme="0" tint="-0.499984740745262"/>
        <rFont val="Calibri"/>
        <family val="2"/>
      </rPr>
      <t>é</t>
    </r>
    <r>
      <rPr>
        <i/>
        <sz val="10"/>
        <color theme="0" tint="-0.499984740745262"/>
        <rFont val="Calibri"/>
        <family val="2"/>
        <scheme val="minor"/>
      </rPr>
      <t xml:space="preserve"> (Centre de Recherche en Sante, Nouna, Burkina Faso) in 2016.</t>
    </r>
  </si>
  <si>
    <t>TOTAL in USD**</t>
  </si>
  <si>
    <t>National short paper-based questionnaire (e.g. 3 pages), and country is similar in area to Burkina Faso, Ecuador, or Vietnam</t>
  </si>
  <si>
    <t>National long paper-based questionnaire or complex protocol, and country is similar in area to Burkina Faso, Ecuador, or Vietnam</t>
  </si>
  <si>
    <t>password: gridsample</t>
  </si>
  <si>
    <t>Budget template</t>
  </si>
  <si>
    <t>Unit cost</t>
  </si>
  <si>
    <t>Quantity</t>
  </si>
  <si>
    <t>Total</t>
  </si>
  <si>
    <t>Consultant</t>
  </si>
  <si>
    <t>x per x months at x salary level</t>
  </si>
  <si>
    <t>Per diem per x days</t>
  </si>
  <si>
    <t>Travel (x trips)</t>
  </si>
  <si>
    <t>x person x month</t>
  </si>
  <si>
    <t>Technical Planning Committee</t>
  </si>
  <si>
    <t>Accident Insurance (for field work)</t>
  </si>
  <si>
    <t>Development of standard operating proceedures (SOPs)</t>
  </si>
  <si>
    <t>Production of SOPs</t>
  </si>
  <si>
    <t>Training venue</t>
  </si>
  <si>
    <t>Refreshments/lunch</t>
  </si>
  <si>
    <t>Equipment rental</t>
  </si>
  <si>
    <t>Travel (air fares)</t>
  </si>
  <si>
    <t>Per diems</t>
  </si>
  <si>
    <t>Videos of interviews for training</t>
  </si>
  <si>
    <t>Field materials (pens, pencils, plastic bags to keep forms, folders, envelopes for forms, etc)</t>
  </si>
  <si>
    <t>Numbering stamps</t>
  </si>
  <si>
    <t>Internet access</t>
  </si>
  <si>
    <t>Printer and photocopies</t>
  </si>
  <si>
    <t>Stationary</t>
  </si>
  <si>
    <t>Development of maps</t>
  </si>
  <si>
    <t>Phone cards</t>
  </si>
  <si>
    <t>Mobile devices</t>
  </si>
  <si>
    <t>Cameras</t>
  </si>
  <si>
    <t>GPS devices</t>
  </si>
  <si>
    <t>Salaries</t>
  </si>
  <si>
    <t>Transportation</t>
  </si>
  <si>
    <t>Data entry clerks</t>
  </si>
  <si>
    <t>Field staff (interviewers and supervisors)</t>
  </si>
  <si>
    <t>Questionnaire double entry</t>
  </si>
  <si>
    <t>x entries</t>
  </si>
  <si>
    <t>Computers/laptops for data entry clerks</t>
  </si>
  <si>
    <t>Data entry clerk salary</t>
  </si>
  <si>
    <t>Flash drives</t>
  </si>
  <si>
    <t>Data analyis</t>
  </si>
  <si>
    <t>Contracting of statistician</t>
  </si>
  <si>
    <t>Printing final reports</t>
  </si>
  <si>
    <t>Meeting logistics</t>
  </si>
  <si>
    <t>Social mobilization</t>
  </si>
  <si>
    <t>Media release</t>
  </si>
  <si>
    <t>Dissemination meeting</t>
  </si>
  <si>
    <t>Meeting venue</t>
  </si>
  <si>
    <t>CDs or USBs</t>
  </si>
  <si>
    <t>Coordination visits</t>
  </si>
  <si>
    <t>TOTAL</t>
  </si>
  <si>
    <t>Fleiss JL, Levin B, Paik MC (2003). Statistical methods for rates and proportions. Hoboken, NJ, USA: John Wiley &amp; Sons, Inc.</t>
  </si>
  <si>
    <t>World Health Organization. 2015. Vaccination Coverage Surveys: Reference Manual. V3. Available at: http://www.who.int/immunization/monitoring_surveillance/Vaccination_coverage_cluster_survey_with_annexes.pdf.</t>
  </si>
  <si>
    <t>Created by Dana Thomson, dana.r.thomson@gmail.com, July 2017. Based on:</t>
  </si>
  <si>
    <r>
      <rPr>
        <b/>
        <i/>
        <sz val="11"/>
        <color theme="1"/>
        <rFont val="Calibri"/>
        <family val="2"/>
        <scheme val="minor"/>
      </rPr>
      <t>Instructions:</t>
    </r>
    <r>
      <rPr>
        <i/>
        <sz val="11"/>
        <color theme="1"/>
        <rFont val="Calibri"/>
        <family val="2"/>
        <scheme val="minor"/>
      </rPr>
      <t xml:space="preserve"> Fill in the blue boxes, and generate up to three survey scenarios to judge feasibility and cost. Print and save this document for reference. Formulas and detailed explanations of each parameter are available in the Vaccination Coverage Surveys: Reference Manual.</t>
    </r>
  </si>
  <si>
    <t>External Links</t>
  </si>
  <si>
    <t>Response rate:</t>
  </si>
  <si>
    <t>Non-response inflation factor:</t>
  </si>
  <si>
    <t>B x C x D x E</t>
  </si>
  <si>
    <t>Total number of households to visit 
(total household sample size)</t>
  </si>
  <si>
    <t>Number of households to visit in each stratum
(household sample size per stratum)</t>
  </si>
  <si>
    <t>A x B x C = N_cs</t>
  </si>
  <si>
    <t>N_cs x D x E</t>
  </si>
  <si>
    <r>
      <rPr>
        <sz val="10"/>
        <color theme="1"/>
        <rFont val="Calibri"/>
        <family val="2"/>
      </rPr>
      <t>α</t>
    </r>
    <r>
      <rPr>
        <sz val="8.5"/>
        <color theme="1"/>
        <rFont val="Calibri"/>
        <family val="2"/>
      </rPr>
      <t xml:space="preserve"> is t</t>
    </r>
    <r>
      <rPr>
        <sz val="10"/>
        <color theme="1"/>
        <rFont val="Calibri"/>
        <family val="2"/>
        <scheme val="minor"/>
      </rPr>
      <t>he probability that we incorrectly find coverage to be different in Group 1 and 2, when in fact, coverage is similar. Choose 5% or 10% (5% - 95% confidence level - is most common). Valid spreadsheet values are 0.05 or 0.10.</t>
    </r>
  </si>
  <si>
    <t>β is the probability that we incorrectly find coverage to be similar in Group 1 and 2, when in fact, coverage is different. We call 1-β the statistical power of the classifier. Choose 80% or 90%. Valid spreadsheet values are 0.80 or 0.90.</t>
  </si>
  <si>
    <t>This number is generally between 5 and 15, and is influenced by the number of people who work in each field data collection team. Consider a smaller m if the number of households per cluster (D x E x m) is too many for a single team to accomplish in one day. Consider a larger m if (D x E x m) is much less than a full day of work for a field team. Keep in mind the eligible number of respondents in a cluster. Valid spreadsheet values range from 1-100.</t>
  </si>
  <si>
    <t xml:space="preserve">ICC is a measure of correlation among respondents from the same cluster. Respondents from the same cluster may to be correlated if they share similar socioeconomic conditions, access to services, and attitudes toward services. ICCs might be available from a previous survey, or in the scientific literature (a link to Google Scholar is provided to search for a sensible ICC value). For post-campaign surveys, an ICC between 1/24 and 1/6 is probably appropriate, with the larger value (1/6 = 0.167) being more conservative. For routine immunization surveys, an ICC between 1/6 and 1/3 is probably appropriate, with 1/3 being more conservative. Valid spreadsheet values range from 0-1. </t>
  </si>
  <si>
    <t>Refer to a recent survey in your country and population of interest (considering seasonal patterns of mobility) to identify the percent of eligible respondents who will likely to respond. Enter the value as a decimal, for example 0.98 for 98%. Valid spreadsheet values range from 0-1.</t>
  </si>
  <si>
    <t>This is the expected coverage of the indicator level of interest. Enter percent as a decimal value, for example 0.80 for 80%. Valid spreadsheet values range from 0.50-0.95.</t>
  </si>
  <si>
    <t>A comparative survey makes a quantitative estimate of difference between two groups, or a change between two time points.</t>
  </si>
  <si>
    <r>
      <t xml:space="preserve">A comparative question detects a statistically significant (larger or smaller) difference between coverage estimates of two surveys, allowing for </t>
    </r>
    <r>
      <rPr>
        <sz val="10"/>
        <color theme="1"/>
        <rFont val="Calibri"/>
        <family val="2"/>
      </rPr>
      <t>α Type I error, and β</t>
    </r>
    <r>
      <rPr>
        <sz val="10"/>
        <color theme="1"/>
        <rFont val="Calibri"/>
        <family val="2"/>
        <scheme val="minor"/>
      </rPr>
      <t xml:space="preserve"> Type II error. This tool assumes the comparison groups are of equal size, and thus this tool should ONLY be used to compare (1) subgroups in a single survey (such as urban and rural), (2) two simultaneous surveys (one survey in each place, Province A and Province B), or (3) between results of two surveys conducted at different time points in the future (that is, changes over time). See the WHO Vaccination Coverage Surveys Reference Manual for equations to (4) support a more complex scenario of unequal size groups, (5) compare results over time when one survey has already been conducted and (6) see if there is an increase in coverage over time (1-sided test) between two future surveys.</t>
    </r>
  </si>
  <si>
    <t>Note: Sample size calculations are based on more decimal values than are displayed.</t>
  </si>
  <si>
    <t>Identify the number of strata in which you will repeat the survey. It might be a subgroup defined by geography, such as districts, or a demographic subgroup, such as children age 12-23 months. When the survey is finished, a separate classification will be calculated for each stratum in the survey. Valid spreadsheet values range from 1-100.</t>
  </si>
  <si>
    <t>Identify the number of strata in which you will repeat the survey. It might be a subgroup defined by geography, such as districts, or a demographic subgroup, such as children age 12-23 months. When the survey is finished, a separate classification will be calculated for each stratum in the survey. Valid spreadsheet values range from 1-1000.</t>
  </si>
  <si>
    <t>The probability that a stratum with a true coverage within the confidence interval is falsely estimated to have coverage outside of the confidence interval. Choose 5% or 10% (5% - 95% confidence level - is most common). Valid spreadsheet values are 0.05 or 0.10.</t>
  </si>
  <si>
    <t>The design effect (DEFF) is a multiplier that inflates the ESS because households located near each other in a cluster survey are typically spatially correlated. Two options are available. The first option is to enter m and ICC below to have DEFF calculated for you. Note that m is largely under your control, and ICC is not. The second option is to enter cluster size m and a DEFF estimate for the indicator and population of interest from an existing survey such as the DHS. However, note that the copied DEFF will be sensitive to m, the number of target respondents per cluster, which may be different from your survey. Also note that some surveys report DEFT, which you need to square for DEFF (DEFF=DEFT^2). Valid spreadsheet values for DEFF range from 1-9. If you enter parameters for both options (m, ICC, and DEFF from an existing survey), the spreadsheet will use the larger of the two DEFF values.</t>
  </si>
  <si>
    <t xml:space="preserve">The effective sample size is the sample size that would be needed if a simple random sample were used. This number will be inflated later to account for the clustering effect. Enter B1-B3, and ESS will be calculated for you. </t>
  </si>
  <si>
    <t>Households may have an eligible respondent, but that person might not be available after at least two revisits, or the eligible person may refuse to participate. The non-response inflation factor ensures that enough households are sampled to account for non-response. Enter the response rate (E1) below, and we will calculate the non-response inflation factor for you.</t>
  </si>
  <si>
    <t xml:space="preserve">This is the expected percent coverage in group 1, expressed as a decimal (for example 0.80 for 80%). Valid spreadsheet values range from 0.01-0.99. </t>
  </si>
  <si>
    <t xml:space="preserve">This is the expected percent coverage in group 2, expressed as a decimal (for example 0.80 for 80%). Valid spreadsheet values range from 0.01-0.99. </t>
  </si>
  <si>
    <r>
      <t xml:space="preserve">The effective sample size is the sample size that would be needed </t>
    </r>
    <r>
      <rPr>
        <i/>
        <sz val="10"/>
        <color theme="1"/>
        <rFont val="Calibri"/>
        <family val="2"/>
        <scheme val="minor"/>
      </rPr>
      <t xml:space="preserve">in each group </t>
    </r>
    <r>
      <rPr>
        <sz val="10"/>
        <color theme="1"/>
        <rFont val="Calibri"/>
        <family val="2"/>
        <scheme val="minor"/>
      </rPr>
      <t xml:space="preserve">if a simple random sample were used. This number will be inflated later to account for the clustering effect. Enter B1-B4, and ESS will be calculated for you. </t>
    </r>
  </si>
  <si>
    <t>Depending on your target population, an eligible respondent might not be present in every household. Enter the average number of households that you will need to visit to find an eligible respondent. In a survey of adult men or women of reproductive age, you might expect to find an eligible respondent in every household and thus enter a value equal to 1 or higher. However, in a survey of births or children, you might need to visit multiple households to find an eligible respondent, and the number of households may vary between rural and urban areas. This number can be found in a recent census or survey, or estimated from equations provided in Annex B of the Vaccination Coverage Survey Guidelines (follow link). Valid spreadsheet values range from 1-20.</t>
  </si>
  <si>
    <t>Travel (40 x trips)</t>
  </si>
  <si>
    <t>200/personx10x40x4</t>
  </si>
  <si>
    <t>70/per/day</t>
  </si>
  <si>
    <t>100x160x2</t>
  </si>
  <si>
    <t>350/perx160/dayx10days</t>
  </si>
  <si>
    <t>3500x10</t>
  </si>
  <si>
    <t>1000x160x2</t>
  </si>
  <si>
    <t>25x7500</t>
  </si>
  <si>
    <t>80,000x2</t>
  </si>
  <si>
    <t>50000x2</t>
  </si>
  <si>
    <t>185x1000x2</t>
  </si>
  <si>
    <t>4000x200</t>
  </si>
  <si>
    <t>30x5000</t>
  </si>
  <si>
    <t>160x14,000</t>
  </si>
  <si>
    <t>650x160x60</t>
  </si>
  <si>
    <t>20x8400x60</t>
  </si>
  <si>
    <t>200x15x9180</t>
  </si>
  <si>
    <t>20x10,000</t>
  </si>
  <si>
    <t>350x30</t>
  </si>
  <si>
    <t>180x300</t>
  </si>
  <si>
    <t>twox35,000</t>
  </si>
  <si>
    <t>Per diem x 15days x 3persons x 40trips</t>
  </si>
  <si>
    <t>x per x 2months at 30,000x salary level</t>
  </si>
  <si>
    <t>5 Per diem 950 per days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</si>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</sst>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5" x14ac:knownFonts="1">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b/>
      <sz val="11"/>
      <color theme="1"/>
      <name val="Calibri"/>
      <family val="2"/>
      <scheme val="minor"/>
    </font>
    <font>
      <i/>
      <sz val="11"/>
      <color theme="1"/>
      <name val="Calibri"/>
      <family val="2"/>
      <scheme val="minor"/>
    </font>
    <font>
      <sz val="11"/>
      <color theme="1"/>
      <name val="Calibri"/>
      <family val="2"/>
    </font>
    <font>
      <b/>
      <sz val="11"/>
      <color theme="1"/>
      <name val="Calibri"/>
      <family val="2"/>
    </font>
    <font>
      <sz val="10"/>
      <color theme="1"/>
      <name val="Calibri"/>
      <family val="2"/>
      <scheme val="minor"/>
    </font>
    <font>
      <i/>
      <sz val="10"/>
      <color theme="1"/>
      <name val="Calibri"/>
      <family val="2"/>
      <scheme val="minor"/>
    </font>
    <font>
      <b/>
      <sz val="10"/>
      <color theme="3"/>
      <name val="Calibri"/>
      <family val="2"/>
      <scheme val="minor"/>
    </font>
    <font>
      <u/>
      <sz val="11"/>
      <color theme="10"/>
      <name val="Calibri"/>
      <family val="2"/>
      <scheme val="minor"/>
    </font>
    <font>
      <u/>
      <sz val="10"/>
      <color theme="10"/>
      <name val="Calibri"/>
      <family val="2"/>
      <scheme val="minor"/>
    </font>
    <font>
      <i/>
      <sz val="10"/>
      <color rgb="FF7F7F7F"/>
      <name val="Calibri"/>
      <family val="2"/>
      <scheme val="minor"/>
    </font>
    <font>
      <b/>
      <i/>
      <sz val="11"/>
      <color theme="1"/>
      <name val="Calibri"/>
      <family val="2"/>
      <scheme val="minor"/>
    </font>
    <font>
      <sz val="10"/>
      <color theme="1"/>
      <name val="Calibri"/>
      <family val="2"/>
    </font>
    <font>
      <sz val="8.5"/>
      <color theme="1"/>
      <name val="Calibri"/>
      <family val="2"/>
    </font>
    <font>
      <b/>
      <i/>
      <sz val="11"/>
      <color theme="3"/>
      <name val="Calibri"/>
      <family val="2"/>
      <scheme val="minor"/>
    </font>
    <font>
      <i/>
      <sz val="10"/>
      <color theme="0" tint="-0.499984740745262"/>
      <name val="Calibri"/>
      <family val="2"/>
      <scheme val="minor"/>
    </font>
    <font>
      <i/>
      <sz val="10"/>
      <color theme="0" tint="-0.499984740745262"/>
      <name val="Calibri"/>
      <family val="2"/>
    </font>
    <font>
      <i/>
      <u/>
      <sz val="10"/>
      <color rgb="FF7F7F7F"/>
      <name val="Calibri"/>
      <family val="2"/>
      <scheme val="minor"/>
    </font>
    <font>
      <i/>
      <u/>
      <sz val="10"/>
      <color theme="0" tint="-0.499984740745262"/>
      <name val="Calibri"/>
      <family val="2"/>
      <scheme val="minor"/>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theme="0" tint="-0.249977111117893"/>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auto="1"/>
      </bottom>
      <diagonal/>
    </border>
    <border>
      <left/>
      <right/>
      <top style="double">
        <color auto="1"/>
      </top>
      <bottom/>
      <diagonal/>
    </border>
    <border>
      <left style="thin">
        <color rgb="FF7F7F7F"/>
      </left>
      <right style="thin">
        <color rgb="FF7F7F7F"/>
      </right>
      <top/>
      <bottom/>
      <diagonal/>
    </border>
    <border>
      <left style="thin">
        <color rgb="FF3F3F3F"/>
      </left>
      <right style="thin">
        <color rgb="FF3F3F3F"/>
      </right>
      <top/>
      <bottom/>
      <diagonal/>
    </border>
    <border>
      <left style="thick">
        <color theme="8" tint="0.39994506668294322"/>
      </left>
      <right style="thick">
        <color theme="8" tint="0.39994506668294322"/>
      </right>
      <top style="thick">
        <color theme="8" tint="0.39994506668294322"/>
      </top>
      <bottom style="thick">
        <color theme="8" tint="0.39994506668294322"/>
      </bottom>
      <diagonal/>
    </border>
    <border>
      <left/>
      <right style="thin">
        <color rgb="FF7F7F7F"/>
      </right>
      <top/>
      <bottom/>
      <diagonal/>
    </border>
    <border>
      <left/>
      <right/>
      <top/>
      <bottom style="thick">
        <color theme="8" tint="0.39994506668294322"/>
      </bottom>
      <diagonal/>
    </border>
    <border>
      <left style="thin">
        <color rgb="FF7F7F7F"/>
      </left>
      <right/>
      <top/>
      <bottom/>
      <diagonal/>
    </border>
    <border>
      <left style="thin">
        <color rgb="FF3F3F3F"/>
      </left>
      <right/>
      <top/>
      <bottom/>
      <diagonal/>
    </border>
    <border>
      <left/>
      <right/>
      <top style="thin">
        <color auto="1"/>
      </top>
      <bottom style="thin">
        <color auto="1"/>
      </bottom>
      <diagonal/>
    </border>
  </borders>
  <cellStyleXfs count="8">
    <xf numFmtId="0" fontId="0" fillId="0" borderId="0"/>
    <xf numFmtId="0" fontId="1" fillId="0" borderId="1" applyNumberFormat="0" applyFill="0" applyAlignment="0" applyProtection="0"/>
    <xf numFmtId="0" fontId="2" fillId="0" borderId="2" applyNumberFormat="0" applyFill="0" applyAlignment="0" applyProtection="0"/>
    <xf numFmtId="0" fontId="3" fillId="2" borderId="3" applyNumberFormat="0" applyAlignment="0" applyProtection="0"/>
    <xf numFmtId="0" fontId="4" fillId="3" borderId="4" applyNumberFormat="0" applyAlignment="0" applyProtection="0"/>
    <xf numFmtId="0" fontId="5" fillId="3" borderId="3" applyNumberFormat="0" applyAlignment="0" applyProtection="0"/>
    <xf numFmtId="0" fontId="6" fillId="0" borderId="0" applyNumberFormat="0" applyFill="0" applyBorder="0" applyAlignment="0" applyProtection="0"/>
    <xf numFmtId="0" fontId="14" fillId="0" borderId="0" applyNumberFormat="0" applyFill="0" applyBorder="0" applyAlignment="0" applyProtection="0"/>
  </cellStyleXfs>
  <cellXfs count="93">
    <xf numFmtId="0" fontId="0" fillId="0" borderId="0" xfId="0"/>
    <xf numFmtId="0" fontId="0" fillId="0" borderId="0" xfId="0" applyAlignment="1">
      <alignment horizontal="center"/>
    </xf>
    <xf numFmtId="2" fontId="0" fillId="0" borderId="0" xfId="0" applyNumberFormat="1" applyAlignment="1">
      <alignment horizontal="center"/>
    </xf>
    <xf numFmtId="0" fontId="0" fillId="4" borderId="0" xfId="0" applyFill="1" applyAlignment="1">
      <alignment horizontal="center"/>
    </xf>
    <xf numFmtId="0" fontId="0" fillId="4" borderId="0" xfId="0" applyFill="1" applyAlignment="1">
      <alignment wrapText="1"/>
    </xf>
    <xf numFmtId="0" fontId="11" fillId="4" borderId="0" xfId="0" applyFont="1" applyFill="1" applyAlignment="1">
      <alignment wrapText="1"/>
    </xf>
    <xf numFmtId="0" fontId="12" fillId="4" borderId="0" xfId="0" applyFont="1" applyFill="1" applyAlignment="1">
      <alignment vertical="top"/>
    </xf>
    <xf numFmtId="0" fontId="11" fillId="4" borderId="0" xfId="0" applyFont="1" applyFill="1" applyAlignment="1">
      <alignment horizontal="center" vertical="top"/>
    </xf>
    <xf numFmtId="0" fontId="12" fillId="4" borderId="5" xfId="0" applyFont="1" applyFill="1" applyBorder="1" applyAlignment="1">
      <alignment vertical="top"/>
    </xf>
    <xf numFmtId="0" fontId="11" fillId="4" borderId="5" xfId="0" applyFont="1" applyFill="1" applyBorder="1" applyAlignment="1">
      <alignment horizontal="center" vertical="top"/>
    </xf>
    <xf numFmtId="0" fontId="0" fillId="4" borderId="0" xfId="0" applyFill="1"/>
    <xf numFmtId="0" fontId="2" fillId="4" borderId="2" xfId="2" applyFill="1" applyAlignment="1">
      <alignment horizontal="center" textRotation="45"/>
    </xf>
    <xf numFmtId="0" fontId="2" fillId="4" borderId="0" xfId="2" applyFill="1" applyBorder="1" applyAlignment="1">
      <alignment horizontal="center" textRotation="45"/>
    </xf>
    <xf numFmtId="0" fontId="11" fillId="4" borderId="0" xfId="0" applyFont="1" applyFill="1" applyAlignment="1">
      <alignment vertical="top" wrapText="1"/>
    </xf>
    <xf numFmtId="0" fontId="0" fillId="4" borderId="0" xfId="0" applyFill="1" applyAlignment="1"/>
    <xf numFmtId="0" fontId="8" fillId="4" borderId="0" xfId="0" applyFont="1" applyFill="1" applyAlignment="1">
      <alignment vertical="top"/>
    </xf>
    <xf numFmtId="0" fontId="13" fillId="4" borderId="0" xfId="2" applyFont="1" applyFill="1" applyBorder="1" applyAlignment="1">
      <alignment horizontal="center" vertical="top" textRotation="45" wrapText="1"/>
    </xf>
    <xf numFmtId="0" fontId="7" fillId="4" borderId="0" xfId="0" applyFont="1" applyFill="1" applyAlignment="1"/>
    <xf numFmtId="0" fontId="3" fillId="4" borderId="3" xfId="3" applyFill="1" applyAlignment="1">
      <alignment horizontal="center"/>
    </xf>
    <xf numFmtId="0" fontId="3" fillId="4" borderId="7" xfId="3" applyFill="1" applyBorder="1" applyAlignment="1">
      <alignment horizontal="center"/>
    </xf>
    <xf numFmtId="0" fontId="7" fillId="4" borderId="0" xfId="0" applyFont="1" applyFill="1" applyAlignment="1">
      <alignment wrapText="1"/>
    </xf>
    <xf numFmtId="0" fontId="0" fillId="4" borderId="0" xfId="0" applyFill="1" applyBorder="1" applyAlignment="1">
      <alignment horizontal="center"/>
    </xf>
    <xf numFmtId="0" fontId="5" fillId="4" borderId="3" xfId="5" applyFill="1" applyAlignment="1">
      <alignment horizontal="center"/>
    </xf>
    <xf numFmtId="0" fontId="5" fillId="4" borderId="7" xfId="5" applyFill="1" applyBorder="1" applyAlignment="1">
      <alignment horizontal="center"/>
    </xf>
    <xf numFmtId="0" fontId="0" fillId="4" borderId="0" xfId="0" applyFont="1" applyFill="1"/>
    <xf numFmtId="0" fontId="0" fillId="4" borderId="0" xfId="0" applyFill="1" applyBorder="1"/>
    <xf numFmtId="0" fontId="0" fillId="4" borderId="0" xfId="0" applyFill="1" applyAlignment="1">
      <alignment vertical="top"/>
    </xf>
    <xf numFmtId="0" fontId="0" fillId="4" borderId="0" xfId="0" applyFont="1" applyFill="1" applyBorder="1" applyAlignment="1"/>
    <xf numFmtId="0" fontId="0" fillId="4" borderId="0" xfId="0" applyFont="1" applyFill="1" applyAlignment="1"/>
    <xf numFmtId="0" fontId="0" fillId="4" borderId="0" xfId="0" applyFont="1" applyFill="1" applyBorder="1"/>
    <xf numFmtId="0" fontId="0" fillId="4" borderId="0" xfId="0" applyFont="1" applyFill="1" applyAlignment="1">
      <alignment wrapText="1"/>
    </xf>
    <xf numFmtId="0" fontId="0" fillId="4" borderId="0" xfId="0" applyFill="1" applyAlignment="1">
      <alignment horizontal="left"/>
    </xf>
    <xf numFmtId="2" fontId="3" fillId="4" borderId="7" xfId="3" applyNumberFormat="1" applyFill="1" applyBorder="1" applyAlignment="1">
      <alignment horizontal="center"/>
    </xf>
    <xf numFmtId="0" fontId="0" fillId="4" borderId="0" xfId="0" applyFill="1" applyAlignment="1">
      <alignment horizontal="center" vertical="top"/>
    </xf>
    <xf numFmtId="0" fontId="0" fillId="4" borderId="0" xfId="0" applyFill="1" applyBorder="1" applyAlignment="1">
      <alignment horizontal="center" vertical="top"/>
    </xf>
    <xf numFmtId="164" fontId="5" fillId="4" borderId="3" xfId="5" applyNumberFormat="1" applyFill="1" applyAlignment="1">
      <alignment horizontal="center"/>
    </xf>
    <xf numFmtId="164" fontId="5" fillId="4" borderId="7" xfId="5" applyNumberFormat="1" applyFill="1" applyBorder="1" applyAlignment="1">
      <alignment horizontal="center"/>
    </xf>
    <xf numFmtId="0" fontId="0" fillId="4" borderId="0" xfId="0" applyFill="1" applyAlignment="1">
      <alignment horizontal="left" indent="1"/>
    </xf>
    <xf numFmtId="0" fontId="1" fillId="4" borderId="0" xfId="1" applyFill="1" applyBorder="1" applyAlignment="1"/>
    <xf numFmtId="0" fontId="0" fillId="4" borderId="0" xfId="0" applyFill="1" applyBorder="1" applyAlignment="1">
      <alignment vertical="top"/>
    </xf>
    <xf numFmtId="0" fontId="7" fillId="4" borderId="0" xfId="0" applyFont="1" applyFill="1" applyAlignment="1">
      <alignment vertical="top" wrapText="1"/>
    </xf>
    <xf numFmtId="0" fontId="0" fillId="4" borderId="0" xfId="0" applyFill="1" applyBorder="1" applyAlignment="1">
      <alignment vertical="top" wrapText="1"/>
    </xf>
    <xf numFmtId="0" fontId="20" fillId="4" borderId="0" xfId="0" applyFont="1" applyFill="1"/>
    <xf numFmtId="3" fontId="0" fillId="4" borderId="0" xfId="0" applyNumberFormat="1" applyFill="1" applyAlignment="1">
      <alignment horizontal="center"/>
    </xf>
    <xf numFmtId="0" fontId="0" fillId="4" borderId="0" xfId="0" applyFill="1" applyAlignment="1">
      <alignment vertical="top" wrapText="1"/>
    </xf>
    <xf numFmtId="3" fontId="4" fillId="4" borderId="4" xfId="4" applyNumberFormat="1" applyFill="1" applyAlignment="1">
      <alignment horizontal="center"/>
    </xf>
    <xf numFmtId="3" fontId="4" fillId="4" borderId="8" xfId="4" applyNumberFormat="1" applyFill="1" applyBorder="1" applyAlignment="1">
      <alignment horizontal="center"/>
    </xf>
    <xf numFmtId="0" fontId="8" fillId="4" borderId="0" xfId="0" applyFont="1" applyFill="1" applyAlignment="1">
      <alignment vertical="top" wrapText="1"/>
    </xf>
    <xf numFmtId="0" fontId="0" fillId="4" borderId="0" xfId="0" quotePrefix="1" applyFill="1" applyAlignment="1">
      <alignment vertical="top"/>
    </xf>
    <xf numFmtId="0" fontId="3" fillId="4" borderId="10" xfId="3" applyFill="1" applyBorder="1" applyAlignment="1">
      <alignment horizontal="center"/>
    </xf>
    <xf numFmtId="0" fontId="11" fillId="4" borderId="0" xfId="0" applyFont="1" applyFill="1" applyAlignment="1"/>
    <xf numFmtId="0" fontId="1" fillId="4" borderId="11" xfId="1" applyFill="1" applyBorder="1" applyAlignment="1"/>
    <xf numFmtId="0" fontId="3" fillId="4" borderId="0" xfId="3" applyFill="1" applyBorder="1" applyAlignment="1">
      <alignment horizontal="center"/>
    </xf>
    <xf numFmtId="0" fontId="5" fillId="4" borderId="12" xfId="5" applyFill="1" applyBorder="1" applyAlignment="1">
      <alignment horizontal="center"/>
    </xf>
    <xf numFmtId="164" fontId="5" fillId="4" borderId="12" xfId="5" applyNumberFormat="1" applyFill="1" applyBorder="1" applyAlignment="1">
      <alignment horizontal="center"/>
    </xf>
    <xf numFmtId="0" fontId="4" fillId="4" borderId="13" xfId="4" applyFill="1" applyBorder="1" applyAlignment="1">
      <alignment horizontal="center" vertical="top"/>
    </xf>
    <xf numFmtId="3" fontId="0" fillId="4" borderId="0" xfId="0" applyNumberFormat="1" applyFill="1" applyBorder="1" applyAlignment="1">
      <alignment horizontal="center"/>
    </xf>
    <xf numFmtId="3" fontId="4" fillId="4" borderId="13" xfId="4" applyNumberFormat="1" applyFill="1" applyBorder="1" applyAlignment="1">
      <alignment horizontal="center"/>
    </xf>
    <xf numFmtId="0" fontId="3" fillId="4" borderId="12" xfId="3" applyFill="1" applyBorder="1" applyAlignment="1">
      <alignment horizontal="center"/>
    </xf>
    <xf numFmtId="0" fontId="3" fillId="4" borderId="9" xfId="3" applyFill="1" applyBorder="1" applyAlignment="1" applyProtection="1">
      <alignment horizontal="center"/>
      <protection locked="0"/>
    </xf>
    <xf numFmtId="0" fontId="5" fillId="4" borderId="3" xfId="5" applyFill="1" applyAlignment="1" applyProtection="1">
      <alignment horizontal="center"/>
      <protection locked="0"/>
    </xf>
    <xf numFmtId="0" fontId="15" fillId="4" borderId="0" xfId="7" applyFont="1" applyFill="1" applyAlignment="1" applyProtection="1">
      <alignment vertical="top" wrapText="1"/>
      <protection locked="0"/>
    </xf>
    <xf numFmtId="0" fontId="0" fillId="0" borderId="0" xfId="0" applyAlignment="1">
      <alignment horizontal="left"/>
    </xf>
    <xf numFmtId="0" fontId="1" fillId="4" borderId="11" xfId="1" applyFill="1" applyBorder="1" applyAlignment="1">
      <alignment wrapText="1"/>
    </xf>
    <xf numFmtId="0" fontId="0" fillId="4" borderId="0" xfId="0" applyFill="1" applyAlignment="1">
      <alignment horizontal="center" wrapText="1"/>
    </xf>
    <xf numFmtId="0" fontId="7" fillId="5" borderId="14" xfId="0" applyFont="1" applyFill="1" applyBorder="1" applyAlignment="1">
      <alignment wrapText="1"/>
    </xf>
    <xf numFmtId="0" fontId="7" fillId="5" borderId="14" xfId="0" applyFont="1" applyFill="1" applyBorder="1"/>
    <xf numFmtId="0" fontId="0" fillId="4" borderId="14" xfId="0" applyFill="1" applyBorder="1" applyAlignment="1">
      <alignment wrapText="1"/>
    </xf>
    <xf numFmtId="0" fontId="0" fillId="4" borderId="14" xfId="0" applyFill="1" applyBorder="1"/>
    <xf numFmtId="0" fontId="7" fillId="4" borderId="14" xfId="0" applyFont="1" applyFill="1" applyBorder="1" applyAlignment="1">
      <alignment wrapText="1"/>
    </xf>
    <xf numFmtId="0" fontId="7" fillId="4" borderId="14" xfId="0" applyFont="1" applyFill="1" applyBorder="1"/>
    <xf numFmtId="0" fontId="7" fillId="4" borderId="0" xfId="0" applyFont="1" applyFill="1"/>
    <xf numFmtId="0" fontId="0" fillId="4" borderId="14" xfId="0" applyFont="1" applyFill="1" applyBorder="1" applyAlignment="1">
      <alignment wrapText="1"/>
    </xf>
    <xf numFmtId="0" fontId="0" fillId="4" borderId="14" xfId="0" applyFont="1" applyFill="1" applyBorder="1"/>
    <xf numFmtId="0" fontId="0" fillId="5" borderId="14" xfId="0" applyFill="1" applyBorder="1" applyAlignment="1">
      <alignment wrapText="1"/>
    </xf>
    <xf numFmtId="0" fontId="0" fillId="5" borderId="14" xfId="0" applyFill="1" applyBorder="1"/>
    <xf numFmtId="0" fontId="5" fillId="4" borderId="3" xfId="5" applyFill="1" applyAlignment="1" applyProtection="1">
      <alignment horizontal="center"/>
    </xf>
    <xf numFmtId="3" fontId="4" fillId="4" borderId="4" xfId="4" applyNumberFormat="1" applyFill="1" applyAlignment="1">
      <alignment horizontal="center" vertical="top"/>
    </xf>
    <xf numFmtId="3" fontId="4" fillId="4" borderId="8" xfId="4" applyNumberFormat="1" applyFill="1" applyBorder="1" applyAlignment="1">
      <alignment horizontal="center" vertical="top"/>
    </xf>
    <xf numFmtId="0" fontId="0" fillId="4" borderId="0" xfId="0" applyFill="1" applyAlignment="1">
      <alignment horizontal="left"/>
    </xf>
    <xf numFmtId="0" fontId="0" fillId="4" borderId="0" xfId="0" applyFill="1" applyAlignment="1" applyProtection="1">
      <alignment horizontal="center"/>
      <protection locked="0"/>
    </xf>
    <xf numFmtId="0" fontId="0" fillId="4" borderId="0" xfId="0" applyFill="1" applyAlignment="1" applyProtection="1">
      <alignment horizontal="center"/>
    </xf>
    <xf numFmtId="3" fontId="0" fillId="4" borderId="14" xfId="0" applyNumberFormat="1" applyFill="1" applyBorder="1"/>
    <xf numFmtId="3" fontId="0" fillId="4" borderId="14" xfId="0" applyNumberFormat="1" applyFont="1" applyFill="1" applyBorder="1"/>
    <xf numFmtId="3" fontId="7" fillId="4" borderId="14" xfId="0" applyNumberFormat="1" applyFont="1" applyFill="1" applyBorder="1"/>
    <xf numFmtId="0" fontId="16" fillId="4" borderId="0" xfId="6" applyFont="1" applyFill="1" applyAlignment="1">
      <alignment horizontal="left" wrapText="1"/>
    </xf>
    <xf numFmtId="0" fontId="8" fillId="4" borderId="6" xfId="0" applyFont="1" applyFill="1" applyBorder="1" applyAlignment="1">
      <alignment horizontal="left" vertical="top" wrapText="1"/>
    </xf>
    <xf numFmtId="0" fontId="11" fillId="4" borderId="0" xfId="0" applyFont="1" applyFill="1" applyAlignment="1">
      <alignment horizontal="left" vertical="top" wrapText="1"/>
    </xf>
    <xf numFmtId="0" fontId="11" fillId="4" borderId="5" xfId="0" applyFont="1" applyFill="1" applyBorder="1" applyAlignment="1">
      <alignment horizontal="left" vertical="top" wrapText="1"/>
    </xf>
    <xf numFmtId="0" fontId="0" fillId="4" borderId="0" xfId="0" applyFill="1" applyAlignment="1">
      <alignment horizontal="left" wrapText="1"/>
    </xf>
    <xf numFmtId="0" fontId="0" fillId="4" borderId="0" xfId="0" applyFill="1" applyAlignment="1">
      <alignment horizontal="left"/>
    </xf>
    <xf numFmtId="0" fontId="11" fillId="4" borderId="0" xfId="0" applyFont="1" applyFill="1" applyAlignment="1">
      <alignment horizontal="left" wrapText="1"/>
    </xf>
    <xf numFmtId="0" fontId="21" fillId="4" borderId="0" xfId="0" applyFont="1" applyFill="1" applyAlignment="1">
      <alignment horizontal="left" wrapText="1"/>
    </xf>
  </cellXfs>
  <cellStyles count="8">
    <cellStyle name="Calculation" xfId="5" builtinId="22"/>
    <cellStyle name="Explanatory Text" xfId="6" builtinId="53"/>
    <cellStyle name="Heading 1" xfId="1" builtinId="16"/>
    <cellStyle name="Heading 2" xfId="2" builtinId="17"/>
    <cellStyle name="Hyperlink" xfId="7" builtinId="8"/>
    <cellStyle name="Input" xfId="3" builtinId="20"/>
    <cellStyle name="Normal" xfId="0" builtinId="0"/>
    <cellStyle name="Output" xfId="4"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cholar.google.co.uk/" TargetMode="External"/><Relationship Id="rId1" Type="http://schemas.openxmlformats.org/officeDocument/2006/relationships/hyperlink" Target="http://www.who.int/immunization/monitoring_surveillance/Vaccination_coverage_cluster_survey_with_annexes.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cholar.google.co.uk/" TargetMode="External"/><Relationship Id="rId1" Type="http://schemas.openxmlformats.org/officeDocument/2006/relationships/hyperlink" Target="http://www.who.int/immunization/monitoring_surveillance/Vaccination_coverage_cluster_survey_with_annexe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1"/>
  <sheetViews>
    <sheetView topLeftCell="A33" zoomScaleNormal="100" workbookViewId="0">
      <selection activeCell="B34" sqref="B34"/>
    </sheetView>
  </sheetViews>
  <sheetFormatPr defaultRowHeight="15" x14ac:dyDescent="0.25"/>
  <cols>
    <col min="1" max="1" width="15.140625" style="10" customWidth="1"/>
    <col min="2" max="2" width="9.42578125" style="3" customWidth="1"/>
    <col min="3" max="3" width="2.42578125" style="3" customWidth="1"/>
    <col min="4" max="4" width="9.42578125" style="3" customWidth="1"/>
    <col min="5" max="5" width="2.28515625" style="3" customWidth="1"/>
    <col min="6" max="6" width="9.42578125" style="3" customWidth="1"/>
    <col min="7" max="7" width="2.140625" style="3" customWidth="1"/>
    <col min="8" max="8" width="66.85546875" style="4" customWidth="1"/>
    <col min="9" max="9" width="11" style="13" customWidth="1"/>
    <col min="10" max="16384" width="9.140625" style="10"/>
  </cols>
  <sheetData>
    <row r="1" spans="1:9" s="14" customFormat="1" ht="20.25" thickBot="1" x14ac:dyDescent="0.35">
      <c r="A1" s="51" t="s">
        <v>41</v>
      </c>
      <c r="B1" s="3"/>
      <c r="C1" s="3"/>
      <c r="D1" s="3"/>
      <c r="E1" s="3"/>
      <c r="F1" s="3"/>
      <c r="G1" s="3"/>
      <c r="H1" s="4"/>
      <c r="I1" s="13"/>
    </row>
    <row r="2" spans="1:9" s="50" customFormat="1" ht="13.5" thickTop="1" x14ac:dyDescent="0.2">
      <c r="A2" s="6" t="s">
        <v>4</v>
      </c>
      <c r="B2" s="7"/>
      <c r="C2" s="7"/>
      <c r="D2" s="87" t="s">
        <v>87</v>
      </c>
      <c r="E2" s="87"/>
      <c r="F2" s="87"/>
      <c r="G2" s="87"/>
      <c r="H2" s="87"/>
      <c r="I2" s="87"/>
    </row>
    <row r="3" spans="1:9" s="50" customFormat="1" ht="27.75" customHeight="1" thickBot="1" x14ac:dyDescent="0.25">
      <c r="A3" s="8" t="s">
        <v>5</v>
      </c>
      <c r="B3" s="9"/>
      <c r="C3" s="9"/>
      <c r="D3" s="88" t="s">
        <v>63</v>
      </c>
      <c r="E3" s="88"/>
      <c r="F3" s="88"/>
      <c r="G3" s="88"/>
      <c r="H3" s="88"/>
      <c r="I3" s="88"/>
    </row>
    <row r="4" spans="1:9" s="15" customFormat="1" ht="33.75" customHeight="1" thickTop="1" x14ac:dyDescent="0.25">
      <c r="A4" s="86" t="s">
        <v>145</v>
      </c>
      <c r="B4" s="86"/>
      <c r="C4" s="86"/>
      <c r="D4" s="86"/>
      <c r="E4" s="86"/>
      <c r="F4" s="86"/>
      <c r="G4" s="86"/>
      <c r="H4" s="86"/>
      <c r="I4" s="86"/>
    </row>
    <row r="5" spans="1:9" ht="55.5" thickBot="1" x14ac:dyDescent="0.3">
      <c r="B5" s="12" t="s">
        <v>6</v>
      </c>
      <c r="C5" s="12"/>
      <c r="D5" s="11" t="s">
        <v>7</v>
      </c>
      <c r="E5" s="12"/>
      <c r="F5" s="11" t="s">
        <v>8</v>
      </c>
      <c r="G5" s="12"/>
      <c r="I5" s="16" t="s">
        <v>146</v>
      </c>
    </row>
    <row r="6" spans="1:9" s="14" customFormat="1" ht="30" customHeight="1" thickTop="1" thickBot="1" x14ac:dyDescent="0.3">
      <c r="A6" s="17" t="s">
        <v>16</v>
      </c>
      <c r="B6" s="59">
        <v>10</v>
      </c>
      <c r="C6" s="49"/>
      <c r="D6" s="59"/>
      <c r="E6" s="19"/>
      <c r="F6" s="59"/>
      <c r="G6" s="52"/>
      <c r="H6" s="20" t="s">
        <v>18</v>
      </c>
      <c r="I6" s="13"/>
    </row>
    <row r="7" spans="1:9" ht="65.25" thickTop="1" x14ac:dyDescent="0.25">
      <c r="C7" s="21"/>
      <c r="E7" s="21"/>
      <c r="G7" s="21"/>
      <c r="H7" s="5" t="s">
        <v>163</v>
      </c>
    </row>
    <row r="8" spans="1:9" s="14" customFormat="1" ht="30" customHeight="1" collapsed="1" x14ac:dyDescent="0.25">
      <c r="A8" s="17" t="s">
        <v>17</v>
      </c>
      <c r="B8" s="22">
        <f>IF(OR(B16="",B18="",B20="",),"",B14)</f>
        <v>306</v>
      </c>
      <c r="C8" s="23"/>
      <c r="D8" s="22" t="str">
        <f>IF(OR(D16="",D18="",D20="",),"",D14)</f>
        <v/>
      </c>
      <c r="E8" s="23"/>
      <c r="F8" s="22" t="str">
        <f>IF(OR(F16="",F18="",F20="",),"",F14)</f>
        <v/>
      </c>
      <c r="G8" s="53"/>
      <c r="H8" s="20" t="s">
        <v>19</v>
      </c>
      <c r="I8" s="13"/>
    </row>
    <row r="9" spans="1:9" hidden="1" x14ac:dyDescent="0.25">
      <c r="A9" s="10" t="s">
        <v>44</v>
      </c>
      <c r="B9" s="10">
        <f>B18</f>
        <v>0.05</v>
      </c>
      <c r="C9" s="25"/>
      <c r="D9" s="10">
        <f t="shared" ref="D9:F9" si="0">D18</f>
        <v>0</v>
      </c>
      <c r="E9" s="25"/>
      <c r="F9" s="10">
        <f t="shared" si="0"/>
        <v>0</v>
      </c>
      <c r="G9" s="25"/>
      <c r="H9" s="10"/>
      <c r="I9" s="26"/>
    </row>
    <row r="10" spans="1:9" hidden="1" x14ac:dyDescent="0.25">
      <c r="A10" s="27" t="s">
        <v>48</v>
      </c>
      <c r="B10" s="10">
        <f>B16</f>
        <v>0.8</v>
      </c>
      <c r="C10" s="25"/>
      <c r="D10" s="10">
        <f t="shared" ref="D10:F10" si="1">D16</f>
        <v>0</v>
      </c>
      <c r="E10" s="25"/>
      <c r="F10" s="10">
        <f t="shared" si="1"/>
        <v>0</v>
      </c>
      <c r="G10" s="25"/>
      <c r="H10" s="10"/>
      <c r="I10" s="26"/>
    </row>
    <row r="11" spans="1:9" s="28" customFormat="1" hidden="1" x14ac:dyDescent="0.25">
      <c r="A11" s="28" t="s">
        <v>45</v>
      </c>
      <c r="B11" s="24">
        <f>_xlfn.NORM.S.INV(1-(B20/2))</f>
        <v>1.9599639845400536</v>
      </c>
      <c r="C11" s="29"/>
      <c r="D11" s="24" t="e">
        <f t="shared" ref="D11" si="2">_xlfn.NORM.S.INV(1-(D20/2))</f>
        <v>#NUM!</v>
      </c>
      <c r="E11" s="29"/>
      <c r="F11" s="24" t="e">
        <f>_xlfn.NORM.S.INV(1-(F20/2))</f>
        <v>#NUM!</v>
      </c>
      <c r="G11" s="29"/>
      <c r="H11" s="30"/>
      <c r="I11" s="13"/>
    </row>
    <row r="12" spans="1:9" s="28" customFormat="1" hidden="1" x14ac:dyDescent="0.25">
      <c r="A12" s="28" t="s">
        <v>46</v>
      </c>
      <c r="B12" s="24">
        <f>B11^2</f>
        <v>3.8414588206941236</v>
      </c>
      <c r="C12" s="29"/>
      <c r="D12" s="24" t="e">
        <f t="shared" ref="D12:F12" si="3">D11^2</f>
        <v>#NUM!</v>
      </c>
      <c r="E12" s="29"/>
      <c r="F12" s="24" t="e">
        <f t="shared" si="3"/>
        <v>#NUM!</v>
      </c>
      <c r="G12" s="29"/>
      <c r="H12" s="30"/>
      <c r="I12" s="13"/>
    </row>
    <row r="13" spans="1:9" s="28" customFormat="1" hidden="1" x14ac:dyDescent="0.25">
      <c r="A13" s="27" t="s">
        <v>47</v>
      </c>
      <c r="B13" s="24">
        <f>IF(AND(B10&gt;=0.3,B10&lt;=0.7),1,IF(AND(B10&gt;0.7,B10&lt;=(1-B9)),4*(B10-B9)*(1-B10+B9),8*B9*(1-(2*B9))))</f>
        <v>0.74999999999999978</v>
      </c>
      <c r="C13" s="29"/>
      <c r="D13" s="24">
        <f t="shared" ref="D13:F13" si="4">IF(AND(D10&gt;=0.3,D10&lt;=0.7),1,IF(AND(D10&gt;0.7,D10&lt;=(1-D9)),4*(D10-D9)*(1-D10+D9),8*D9*(1-(2*D9))))</f>
        <v>0</v>
      </c>
      <c r="E13" s="29"/>
      <c r="F13" s="24">
        <f t="shared" si="4"/>
        <v>0</v>
      </c>
      <c r="G13" s="29"/>
      <c r="H13" s="30"/>
      <c r="I13" s="13"/>
    </row>
    <row r="14" spans="1:9" s="28" customFormat="1" hidden="1" x14ac:dyDescent="0.25">
      <c r="A14" s="27" t="s">
        <v>39</v>
      </c>
      <c r="B14" s="24">
        <f>ROUND(((B13*B12)/(4*(B9^2)))+(1/B9)-(2*B12)+((B11+2)/B13),0)</f>
        <v>306</v>
      </c>
      <c r="C14" s="29"/>
      <c r="D14" s="24" t="e">
        <f>ROUND(((D13*D12)/(4*D9^2))+((1/D9)-(2*D12))+((D11+2)/D13),0)</f>
        <v>#NUM!</v>
      </c>
      <c r="E14" s="29"/>
      <c r="F14" s="24" t="e">
        <f>ROUND(((F13*F12)/(4*F9^2))+((1/F9)-(2*F12))+((F11+2)/F13),0)</f>
        <v>#NUM!</v>
      </c>
      <c r="G14" s="29"/>
      <c r="H14" s="30"/>
      <c r="I14" s="13"/>
    </row>
    <row r="15" spans="1:9" ht="39.75" thickBot="1" x14ac:dyDescent="0.3">
      <c r="C15" s="21"/>
      <c r="E15" s="21"/>
      <c r="G15" s="21"/>
      <c r="H15" s="5" t="s">
        <v>167</v>
      </c>
    </row>
    <row r="16" spans="1:9" s="14" customFormat="1" ht="30" customHeight="1" thickTop="1" thickBot="1" x14ac:dyDescent="0.3">
      <c r="A16" s="37" t="s">
        <v>0</v>
      </c>
      <c r="B16" s="59">
        <v>0.8</v>
      </c>
      <c r="C16" s="19"/>
      <c r="D16" s="59"/>
      <c r="E16" s="19"/>
      <c r="F16" s="59"/>
      <c r="G16" s="52"/>
      <c r="H16" s="20" t="s">
        <v>43</v>
      </c>
      <c r="I16" s="13"/>
    </row>
    <row r="17" spans="1:9" ht="40.5" thickTop="1" thickBot="1" x14ac:dyDescent="0.3">
      <c r="C17" s="21"/>
      <c r="E17" s="21"/>
      <c r="G17" s="21"/>
      <c r="H17" s="5" t="s">
        <v>159</v>
      </c>
    </row>
    <row r="18" spans="1:9" s="14" customFormat="1" ht="30" customHeight="1" thickTop="1" thickBot="1" x14ac:dyDescent="0.3">
      <c r="A18" s="37" t="s">
        <v>1</v>
      </c>
      <c r="B18" s="59">
        <v>0.05</v>
      </c>
      <c r="C18" s="19"/>
      <c r="D18" s="59"/>
      <c r="E18" s="19"/>
      <c r="F18" s="59"/>
      <c r="G18" s="52"/>
      <c r="H18" s="20" t="s">
        <v>42</v>
      </c>
      <c r="I18" s="13"/>
    </row>
    <row r="19" spans="1:9" ht="40.5" thickTop="1" thickBot="1" x14ac:dyDescent="0.3">
      <c r="C19" s="21"/>
      <c r="E19" s="21"/>
      <c r="G19" s="21"/>
      <c r="H19" s="5" t="s">
        <v>64</v>
      </c>
    </row>
    <row r="20" spans="1:9" s="14" customFormat="1" ht="30" customHeight="1" thickTop="1" thickBot="1" x14ac:dyDescent="0.3">
      <c r="A20" s="37" t="s">
        <v>2</v>
      </c>
      <c r="B20" s="59">
        <v>0.05</v>
      </c>
      <c r="C20" s="19"/>
      <c r="D20" s="59"/>
      <c r="E20" s="19"/>
      <c r="F20" s="59"/>
      <c r="G20" s="52"/>
      <c r="H20" s="4" t="s">
        <v>20</v>
      </c>
      <c r="I20" s="13"/>
    </row>
    <row r="21" spans="1:9" ht="54" customHeight="1" thickTop="1" thickBot="1" x14ac:dyDescent="0.3">
      <c r="C21" s="21"/>
      <c r="E21" s="21"/>
      <c r="G21" s="21"/>
      <c r="H21" s="5" t="s">
        <v>165</v>
      </c>
    </row>
    <row r="22" spans="1:9" ht="28.5" hidden="1" customHeight="1" thickBot="1" x14ac:dyDescent="0.3">
      <c r="B22" s="3">
        <f>MAX(B23:B24)</f>
        <v>3</v>
      </c>
      <c r="C22" s="21"/>
      <c r="D22" s="3">
        <f>MAX(D23:D24)</f>
        <v>0</v>
      </c>
      <c r="E22" s="21"/>
      <c r="F22" s="3">
        <f>MAX(F23:F24)</f>
        <v>0</v>
      </c>
      <c r="G22" s="21"/>
      <c r="H22" s="5"/>
    </row>
    <row r="23" spans="1:9" ht="28.5" customHeight="1" thickTop="1" thickBot="1" x14ac:dyDescent="0.3">
      <c r="A23" s="17" t="s">
        <v>15</v>
      </c>
      <c r="B23" s="59">
        <v>3</v>
      </c>
      <c r="C23" s="19"/>
      <c r="D23" s="59"/>
      <c r="E23" s="19"/>
      <c r="F23" s="59"/>
      <c r="G23" s="21"/>
      <c r="H23" s="20" t="s">
        <v>21</v>
      </c>
    </row>
    <row r="24" spans="1:9" s="14" customFormat="1" ht="30" customHeight="1" thickTop="1" x14ac:dyDescent="0.25">
      <c r="B24" s="76">
        <f>IF(OR(B26="",B28=""),"",1+(B26-1)*B28)</f>
        <v>2.98</v>
      </c>
      <c r="C24" s="23"/>
      <c r="D24" s="76" t="str">
        <f t="shared" ref="D24" si="5">IF(OR(D26="",D28=""),"",1+(D26-1)*D28)</f>
        <v/>
      </c>
      <c r="E24" s="23"/>
      <c r="F24" s="76" t="str">
        <f>IF(OR(F26="",F28=""),"",1+(F26-1)*F28)</f>
        <v/>
      </c>
      <c r="G24" s="53"/>
      <c r="H24" s="91" t="s">
        <v>166</v>
      </c>
      <c r="I24" s="13"/>
    </row>
    <row r="25" spans="1:9" ht="111" customHeight="1" thickBot="1" x14ac:dyDescent="0.3">
      <c r="C25" s="21"/>
      <c r="E25" s="21"/>
      <c r="G25" s="21"/>
      <c r="H25" s="91"/>
    </row>
    <row r="26" spans="1:9" s="14" customFormat="1" ht="30" customHeight="1" thickTop="1" thickBot="1" x14ac:dyDescent="0.3">
      <c r="A26" s="37" t="s">
        <v>14</v>
      </c>
      <c r="B26" s="59">
        <v>7</v>
      </c>
      <c r="C26" s="19"/>
      <c r="D26" s="59"/>
      <c r="E26" s="19"/>
      <c r="F26" s="59"/>
      <c r="G26" s="52"/>
      <c r="H26" s="4" t="s">
        <v>24</v>
      </c>
      <c r="I26" s="13"/>
    </row>
    <row r="27" spans="1:9" ht="65.25" customHeight="1" thickTop="1" thickBot="1" x14ac:dyDescent="0.3">
      <c r="C27" s="21"/>
      <c r="E27" s="21"/>
      <c r="G27" s="21"/>
      <c r="H27" s="5" t="s">
        <v>156</v>
      </c>
    </row>
    <row r="28" spans="1:9" s="14" customFormat="1" ht="30" customHeight="1" thickTop="1" thickBot="1" x14ac:dyDescent="0.3">
      <c r="A28" s="37" t="s">
        <v>13</v>
      </c>
      <c r="B28" s="59">
        <v>0.33</v>
      </c>
      <c r="C28" s="32"/>
      <c r="D28" s="59"/>
      <c r="E28" s="32"/>
      <c r="F28" s="59"/>
      <c r="G28" s="52"/>
      <c r="H28" s="4" t="s">
        <v>22</v>
      </c>
      <c r="I28" s="13"/>
    </row>
    <row r="29" spans="1:9" ht="117" thickTop="1" thickBot="1" x14ac:dyDescent="0.3">
      <c r="C29" s="21"/>
      <c r="E29" s="21"/>
      <c r="G29" s="21"/>
      <c r="H29" s="5" t="s">
        <v>157</v>
      </c>
      <c r="I29" s="61" t="s">
        <v>26</v>
      </c>
    </row>
    <row r="30" spans="1:9" s="14" customFormat="1" ht="30" customHeight="1" thickTop="1" thickBot="1" x14ac:dyDescent="0.3">
      <c r="A30" s="17" t="s">
        <v>12</v>
      </c>
      <c r="B30" s="59">
        <v>7</v>
      </c>
      <c r="C30" s="19"/>
      <c r="D30" s="59"/>
      <c r="E30" s="19"/>
      <c r="F30" s="59"/>
      <c r="G30" s="52"/>
      <c r="H30" s="20" t="s">
        <v>62</v>
      </c>
      <c r="I30" s="13"/>
    </row>
    <row r="31" spans="1:9" ht="129" customHeight="1" thickTop="1" x14ac:dyDescent="0.25">
      <c r="A31" s="26"/>
      <c r="B31" s="33"/>
      <c r="C31" s="34"/>
      <c r="D31" s="33"/>
      <c r="E31" s="34"/>
      <c r="F31" s="33"/>
      <c r="G31" s="34"/>
      <c r="H31" s="13" t="s">
        <v>172</v>
      </c>
      <c r="I31" s="61" t="s">
        <v>25</v>
      </c>
    </row>
    <row r="32" spans="1:9" s="14" customFormat="1" ht="30" customHeight="1" x14ac:dyDescent="0.25">
      <c r="A32" s="17" t="s">
        <v>27</v>
      </c>
      <c r="B32" s="35">
        <f>IF(B34="","",1/B34)</f>
        <v>1.1111111111111112</v>
      </c>
      <c r="C32" s="36"/>
      <c r="D32" s="35" t="str">
        <f>IF(D34="","",1/D34)</f>
        <v/>
      </c>
      <c r="E32" s="36"/>
      <c r="F32" s="35" t="str">
        <f>IF(F34="","",1/F34)</f>
        <v/>
      </c>
      <c r="G32" s="54"/>
      <c r="H32" s="20" t="s">
        <v>148</v>
      </c>
      <c r="I32" s="13"/>
    </row>
    <row r="33" spans="1:9" ht="65.25" thickBot="1" x14ac:dyDescent="0.3">
      <c r="C33" s="21"/>
      <c r="E33" s="21"/>
      <c r="G33" s="21"/>
      <c r="H33" s="5" t="s">
        <v>168</v>
      </c>
    </row>
    <row r="34" spans="1:9" ht="30" customHeight="1" thickTop="1" thickBot="1" x14ac:dyDescent="0.3">
      <c r="A34" s="37" t="s">
        <v>28</v>
      </c>
      <c r="B34" s="59">
        <v>0.9</v>
      </c>
      <c r="C34" s="19"/>
      <c r="D34" s="59"/>
      <c r="E34" s="19"/>
      <c r="F34" s="59"/>
      <c r="G34" s="52"/>
      <c r="H34" s="20" t="s">
        <v>147</v>
      </c>
    </row>
    <row r="35" spans="1:9" ht="52.5" thickTop="1" x14ac:dyDescent="0.25">
      <c r="C35" s="21"/>
      <c r="E35" s="21"/>
      <c r="G35" s="21"/>
      <c r="H35" s="5" t="s">
        <v>158</v>
      </c>
    </row>
    <row r="36" spans="1:9" ht="19.5" x14ac:dyDescent="0.3">
      <c r="A36" s="38" t="s">
        <v>72</v>
      </c>
      <c r="B36" s="81"/>
      <c r="C36" s="21"/>
      <c r="D36" s="81"/>
      <c r="E36" s="21"/>
      <c r="F36" s="81"/>
      <c r="G36" s="21"/>
    </row>
    <row r="37" spans="1:9" ht="7.5" customHeight="1" x14ac:dyDescent="0.3">
      <c r="A37" s="38"/>
      <c r="B37" s="81"/>
      <c r="C37" s="21"/>
      <c r="D37" s="81"/>
      <c r="E37" s="21"/>
      <c r="F37" s="81"/>
      <c r="G37" s="21"/>
    </row>
    <row r="38" spans="1:9" s="14" customFormat="1" ht="30" customHeight="1" x14ac:dyDescent="0.25">
      <c r="A38" s="39" t="s">
        <v>152</v>
      </c>
      <c r="B38" s="77">
        <f>IF(OR(B6="",B8="",B22=0),"",ROUNDUP(B6*B8*B22,0))</f>
        <v>9180</v>
      </c>
      <c r="C38" s="78"/>
      <c r="D38" s="77" t="str">
        <f>IF(OR(D6="",D8="",D22=0),"",ROUNDUP(D6*D8*D22,0))</f>
        <v/>
      </c>
      <c r="E38" s="78"/>
      <c r="F38" s="77" t="str">
        <f>IF(OR(F6="",F8="",F22=0),"",ROUNDUP(F6*F8*F22,0))</f>
        <v/>
      </c>
      <c r="G38" s="55"/>
      <c r="H38" s="40" t="s">
        <v>29</v>
      </c>
      <c r="I38" s="13"/>
    </row>
    <row r="39" spans="1:9" s="14" customFormat="1" ht="30" customHeight="1" x14ac:dyDescent="0.25">
      <c r="A39" s="39" t="s">
        <v>153</v>
      </c>
      <c r="B39" s="77">
        <f>IF(OR(B6="",B8="",B22=0,B30="",B32=""),"",ROUNDUP(B38*B30*B32,0))</f>
        <v>71400</v>
      </c>
      <c r="C39" s="78"/>
      <c r="D39" s="77" t="str">
        <f>IF(OR(D6="",D8="",D22=0,D30="",D32=""),"",ROUNDUP(D38*D30*D32,0))</f>
        <v/>
      </c>
      <c r="E39" s="78"/>
      <c r="F39" s="77" t="str">
        <f>IF(OR(F6="",F8="",F22=0,F30="",F32=""),"",ROUNDUP(F38*F30*F32,0))</f>
        <v/>
      </c>
      <c r="G39" s="55"/>
      <c r="H39" s="40" t="s">
        <v>150</v>
      </c>
      <c r="I39" s="13"/>
    </row>
    <row r="40" spans="1:9" s="14" customFormat="1" ht="30" customHeight="1" x14ac:dyDescent="0.25">
      <c r="A40" s="39" t="s">
        <v>149</v>
      </c>
      <c r="B40" s="77">
        <f>IF(OR(B8="",B22=0,B30="",B32=""),"",ROUNDUP(B8*B22*B30*B32,0))</f>
        <v>7140</v>
      </c>
      <c r="C40" s="78"/>
      <c r="D40" s="77" t="str">
        <f>IF(OR(D8="",D22=0,D30="",D32=""),"",ROUNDUP(D8*D22*D30*D32,0))</f>
        <v/>
      </c>
      <c r="E40" s="78"/>
      <c r="F40" s="77" t="str">
        <f>IF(OR(F8="",F22=0,F30="",F32=""),"",ROUNDUP(F8*F22*F30*F32,0))</f>
        <v/>
      </c>
      <c r="G40" s="55"/>
      <c r="H40" s="40" t="s">
        <v>151</v>
      </c>
      <c r="I40" s="13"/>
    </row>
    <row r="41" spans="1:9" s="14" customFormat="1" ht="30" customHeight="1" x14ac:dyDescent="0.25">
      <c r="A41" s="39" t="s">
        <v>30</v>
      </c>
      <c r="B41" s="77">
        <f>IF(OR(B8="",B22=0,B26=""),"",ROUNDUP(B8*B22/B26,0))</f>
        <v>132</v>
      </c>
      <c r="C41" s="78"/>
      <c r="D41" s="77" t="str">
        <f>IF(OR(D8="",D22=0,D26=""),"",ROUNDUP(D8*D22/D26,0))</f>
        <v/>
      </c>
      <c r="E41" s="78"/>
      <c r="F41" s="77" t="str">
        <f>IF(OR(F8="",F22=0,F26=""),"",ROUNDUP(F8*F22/F26,0))</f>
        <v/>
      </c>
      <c r="G41" s="55"/>
      <c r="H41" s="40" t="s">
        <v>9</v>
      </c>
      <c r="I41" s="13"/>
    </row>
    <row r="42" spans="1:9" s="14" customFormat="1" ht="30" customHeight="1" x14ac:dyDescent="0.25">
      <c r="A42" s="26" t="s">
        <v>11</v>
      </c>
      <c r="B42" s="77">
        <f>IF(OR(B30="",B32="",B26=""),"",ROUNDUP(B30*B32*B26,0))</f>
        <v>55</v>
      </c>
      <c r="C42" s="78"/>
      <c r="D42" s="77" t="str">
        <f t="shared" ref="D42:F42" si="6">IF(OR(D30="",D32="",D26=""),"",ROUNDUP(D30*D32*D26,0))</f>
        <v/>
      </c>
      <c r="E42" s="78"/>
      <c r="F42" s="77" t="str">
        <f t="shared" si="6"/>
        <v/>
      </c>
      <c r="G42" s="55"/>
      <c r="H42" s="40" t="s">
        <v>31</v>
      </c>
      <c r="I42" s="13"/>
    </row>
    <row r="43" spans="1:9" s="14" customFormat="1" ht="30" customHeight="1" x14ac:dyDescent="0.25">
      <c r="A43" s="41" t="s">
        <v>40</v>
      </c>
      <c r="B43" s="77">
        <f>IF(OR(B41="",B6=""),"",B41*B6)</f>
        <v>1320</v>
      </c>
      <c r="C43" s="78"/>
      <c r="D43" s="77" t="str">
        <f>IF(OR(D41="",D6=""),"",D41*D6)</f>
        <v/>
      </c>
      <c r="E43" s="78"/>
      <c r="F43" s="77" t="str">
        <f>IF(OR(F41="",F6=""),"",F41*F6)</f>
        <v/>
      </c>
      <c r="G43" s="55"/>
      <c r="H43" s="40" t="s">
        <v>10</v>
      </c>
      <c r="I43" s="13"/>
    </row>
    <row r="44" spans="1:9" ht="30" customHeight="1" x14ac:dyDescent="0.25">
      <c r="B44" s="80"/>
      <c r="D44" s="80"/>
      <c r="F44" s="80"/>
      <c r="G44" s="21"/>
    </row>
    <row r="45" spans="1:9" ht="19.5" hidden="1" x14ac:dyDescent="0.3">
      <c r="A45" s="38" t="s">
        <v>78</v>
      </c>
      <c r="C45" s="21"/>
      <c r="E45" s="21"/>
      <c r="G45" s="21"/>
    </row>
    <row r="46" spans="1:9" ht="8.25" hidden="1" customHeight="1" x14ac:dyDescent="0.3">
      <c r="A46" s="38"/>
      <c r="C46" s="21"/>
      <c r="E46" s="21"/>
      <c r="G46" s="21"/>
    </row>
    <row r="47" spans="1:9" hidden="1" x14ac:dyDescent="0.25">
      <c r="A47" s="42" t="s">
        <v>90</v>
      </c>
      <c r="G47" s="21"/>
    </row>
    <row r="48" spans="1:9" ht="8.25" hidden="1" customHeight="1" x14ac:dyDescent="0.25">
      <c r="A48" s="42"/>
      <c r="G48" s="21"/>
    </row>
    <row r="49" spans="1:9" hidden="1" x14ac:dyDescent="0.25">
      <c r="B49" s="43">
        <f>IF(OR(B41="",B42=""),"",6250+(6250*0.272727272727273*(B$6-1)))</f>
        <v>21590.909090909103</v>
      </c>
      <c r="C49" s="43"/>
      <c r="D49" s="43" t="str">
        <f>IF(OR(D41="",D42=""),"",6250+(6250*0.272727272727273*(D$6-1)))</f>
        <v/>
      </c>
      <c r="E49" s="43"/>
      <c r="F49" s="43" t="str">
        <f>IF(OR(F41="",F42=""),"",6250+(6250*0.272727272727273*(F$6-1)))</f>
        <v/>
      </c>
      <c r="G49" s="56"/>
      <c r="H49" s="26" t="s">
        <v>65</v>
      </c>
      <c r="I49" s="10"/>
    </row>
    <row r="50" spans="1:9" hidden="1" x14ac:dyDescent="0.25">
      <c r="B50" s="43">
        <f>IF(OR(B41="",B42=""),"",3000+(3000*0.090909090909091*(B$6-1)))</f>
        <v>5454.5454545454568</v>
      </c>
      <c r="C50" s="43"/>
      <c r="D50" s="43" t="str">
        <f>IF(OR(D41="",D42=""),"",3000+(3000*0.090909090909091*(D$6-1)))</f>
        <v/>
      </c>
      <c r="E50" s="43"/>
      <c r="F50" s="43" t="str">
        <f>IF(OR(F41="",F42=""),"",3000+(3000*0.090909090909091*(F$6-1)))</f>
        <v/>
      </c>
      <c r="G50" s="56"/>
      <c r="H50" s="26" t="s">
        <v>66</v>
      </c>
      <c r="I50" s="10"/>
    </row>
    <row r="51" spans="1:9" hidden="1" x14ac:dyDescent="0.25">
      <c r="B51" s="43">
        <f>IF(OR(B41="",B42=""),"",10890+(10890*0.272727272727273*(B$6-1)))</f>
        <v>37620.000000000029</v>
      </c>
      <c r="C51" s="43"/>
      <c r="D51" s="43" t="str">
        <f>IF(OR(D41="",D42=""),"",10890+(10890*0.272727272727273*(D$6-1)))</f>
        <v/>
      </c>
      <c r="E51" s="43"/>
      <c r="F51" s="43" t="str">
        <f>IF(OR(F41="",F42=""),"",10890+(10890*0.272727272727273*(F$6-1)))</f>
        <v/>
      </c>
      <c r="G51" s="56"/>
      <c r="H51" s="26" t="s">
        <v>67</v>
      </c>
      <c r="I51" s="10"/>
    </row>
    <row r="52" spans="1:9" hidden="1" x14ac:dyDescent="0.25">
      <c r="B52" s="43">
        <f>IF(OR(B41="",B42=""),"",7240+(7240*0.272727272727273*(B$6-1)))</f>
        <v>25010.909090909106</v>
      </c>
      <c r="C52" s="43"/>
      <c r="D52" s="43" t="str">
        <f>IF(OR(D41="",D42=""),"",7240+(7240*0.272727272727273*(D$6-1)))</f>
        <v/>
      </c>
      <c r="E52" s="43"/>
      <c r="F52" s="43" t="str">
        <f>IF(OR(F41="",F42=""),"",7240+(7240*0.272727272727273*(F$6-1)))</f>
        <v/>
      </c>
      <c r="G52" s="56"/>
      <c r="H52" s="26" t="s">
        <v>68</v>
      </c>
      <c r="I52" s="10"/>
    </row>
    <row r="53" spans="1:9" hidden="1" x14ac:dyDescent="0.25">
      <c r="B53" s="43">
        <f>IF(OR(B41="",B42=""),"",(ROUNDUP((0.8*B$41*30.9551*B$42)+(0.5*2.7184*B$42),0))+((ROUNDUP((0.8*B$41*30.9551*B$42)+(0.5*2.7184*B$42),0))*0.636363636363636*(B$6-1)))</f>
        <v>1209980.7272727266</v>
      </c>
      <c r="C53" s="43"/>
      <c r="D53" s="43" t="str">
        <f>IF(OR(D41="",D42=""),"",(ROUNDUP((0.8*D$41*30.9551*D$42)+(0.5*2.7184*D$42),0))+((ROUNDUP((0.8*D$41*30.9551*D$42)+(0.5*2.7184*D$42),0))*0.636363636363636*(D$6-1)))</f>
        <v/>
      </c>
      <c r="E53" s="43"/>
      <c r="F53" s="43" t="str">
        <f>IF(OR(F41="",F42=""),"",(ROUNDUP((0.8*F$41*30.9551*F$42)+(0.5*2.7184*F$42),0))+((ROUNDUP((0.8*F$41*30.9551*F$42)+(0.5*2.7184*F$42),0))*0.636363636363636*(F$6-1)))</f>
        <v/>
      </c>
      <c r="G53" s="56"/>
      <c r="H53" s="26" t="s">
        <v>83</v>
      </c>
      <c r="I53" s="10"/>
    </row>
    <row r="54" spans="1:9" hidden="1" x14ac:dyDescent="0.25">
      <c r="B54" s="43">
        <f>IF(OR(B41="",B42=""),"",((((2*B$41)+30)*100)+8000)+(((((2*B$41)+30)*100)+8000)*0.636363636363636*(B$6-1)))</f>
        <v>251599.99999999988</v>
      </c>
      <c r="C54" s="43"/>
      <c r="D54" s="43" t="str">
        <f>IF(OR(D41="",D42=""),"",((((2*D$41)+30)*100)+8000)+(((((2*D$41)+30)*100)+8000)*0.636363636363636*(D$6-1)))</f>
        <v/>
      </c>
      <c r="E54" s="43"/>
      <c r="F54" s="43" t="str">
        <f>IF(OR(F41="",F42=""),"",((((2*F$41)+30)*100)+8000)+(((((2*F$41)+30)*100)+8000)*0.636363636363636*(F$6-1)))</f>
        <v/>
      </c>
      <c r="G54" s="56"/>
      <c r="H54" s="26" t="s">
        <v>80</v>
      </c>
      <c r="I54" s="10"/>
    </row>
    <row r="55" spans="1:9" hidden="1" x14ac:dyDescent="0.25">
      <c r="B55" s="43">
        <f>IF(OR(B41="",B42=""),"",(ROUNDUP(3.8*B$39/B$6,0))+((ROUNDUP(3.8*B$39/B$6,0))*0.636363636363636*(B$6-1)))</f>
        <v>182524.36363636356</v>
      </c>
      <c r="C55" s="43"/>
      <c r="D55" s="43" t="str">
        <f>IF(OR(D41="",D42=""),"",(ROUNDUP(3.8*D$39/D$6,0))+((ROUNDUP(3.8*D$39/D$6,0))*0.636363636363636*(D$6-1)))</f>
        <v/>
      </c>
      <c r="E55" s="43"/>
      <c r="F55" s="43" t="str">
        <f>IF(OR(F41="",F42=""),"",(ROUNDUP(3.8*F$39/F$6,0))+((ROUNDUP(3.8*F$39/F$6,0))*0.636363636363636*(F$6-1)))</f>
        <v/>
      </c>
      <c r="G55" s="56"/>
      <c r="H55" s="26" t="s">
        <v>69</v>
      </c>
      <c r="I55" s="10"/>
    </row>
    <row r="56" spans="1:9" hidden="1" x14ac:dyDescent="0.25">
      <c r="B56" s="43">
        <f>IF(OR(B41="",B42=""),"",800+(800*0.0454545454545455*(B$6-1)))</f>
        <v>1127.2727272727275</v>
      </c>
      <c r="C56" s="43"/>
      <c r="D56" s="43" t="str">
        <f>IF(OR(D41="",D42=""),"",800+(800*0.0454545454545455*(D$6-1)))</f>
        <v/>
      </c>
      <c r="E56" s="43"/>
      <c r="F56" s="43" t="str">
        <f>IF(OR(F41="",F42=""),"",800+(800*0.0454545454545455*(F$6-1)))</f>
        <v/>
      </c>
      <c r="G56" s="56"/>
      <c r="H56" s="26" t="s">
        <v>73</v>
      </c>
      <c r="I56" s="10"/>
    </row>
    <row r="57" spans="1:9" hidden="1" x14ac:dyDescent="0.25">
      <c r="B57" s="43">
        <f>IF(OR(B41="",B42=""),"",1500+(1500*0.090909090909091*(B$6-1)))</f>
        <v>2727.2727272727284</v>
      </c>
      <c r="C57" s="43"/>
      <c r="D57" s="43" t="str">
        <f>IF(OR(D41="",D42=""),"",1500+(1500*0.090909090909091*(D$6-1)))</f>
        <v/>
      </c>
      <c r="E57" s="43"/>
      <c r="F57" s="43" t="str">
        <f>IF(OR(F41="",F42=""),"",1500+(1500*0.090909090909091*(F$6-1)))</f>
        <v/>
      </c>
      <c r="G57" s="56"/>
      <c r="H57" s="26" t="s">
        <v>79</v>
      </c>
      <c r="I57" s="10"/>
    </row>
    <row r="58" spans="1:9" hidden="1" x14ac:dyDescent="0.25">
      <c r="B58" s="43">
        <f>IF(OR(B41="",B42=""),"",6000+(6000*0.0454545454545455*(B$6-1)))</f>
        <v>8454.5454545454559</v>
      </c>
      <c r="C58" s="43"/>
      <c r="D58" s="43" t="str">
        <f>IF(OR(D41="",D42=""),"",6000+(6000*0.0454545454545455*(D$6-1)))</f>
        <v/>
      </c>
      <c r="E58" s="43"/>
      <c r="F58" s="43" t="str">
        <f>IF(OR(F41="",F42=""),"",6000+(6000*0.0454545454545455*(F$6-1)))</f>
        <v/>
      </c>
      <c r="G58" s="56"/>
      <c r="H58" s="26" t="s">
        <v>70</v>
      </c>
      <c r="I58" s="10"/>
    </row>
    <row r="59" spans="1:9" hidden="1" x14ac:dyDescent="0.25">
      <c r="B59" s="43">
        <f>IF(OR(B41="",B42=""),"",ROUNDUP(SUM(B49:B58)*0.1,0))</f>
        <v>174610</v>
      </c>
      <c r="C59" s="43"/>
      <c r="D59" s="43" t="str">
        <f>IF(OR(D41="",D42=""),"",ROUNDUP(SUM(D49:D58)*0.1,0))</f>
        <v/>
      </c>
      <c r="E59" s="43"/>
      <c r="F59" s="43" t="str">
        <f>IF(OR(F41="",F42=""),"",ROUNDUP(SUM(F49:F58)*0.1,0))</f>
        <v/>
      </c>
      <c r="G59" s="56"/>
      <c r="H59" s="44" t="s">
        <v>71</v>
      </c>
      <c r="I59" s="10"/>
    </row>
    <row r="60" spans="1:9" ht="8.25" hidden="1" customHeight="1" x14ac:dyDescent="0.25">
      <c r="B60" s="43"/>
      <c r="C60" s="43"/>
      <c r="D60" s="43"/>
      <c r="E60" s="43"/>
      <c r="F60" s="43"/>
      <c r="G60" s="56"/>
      <c r="H60" s="44"/>
    </row>
    <row r="61" spans="1:9" ht="30" hidden="1" customHeight="1" x14ac:dyDescent="0.25">
      <c r="B61" s="45">
        <f>IF(OR(B41="",B42=""),"",SUM(B49:B59))</f>
        <v>1920700.5454545447</v>
      </c>
      <c r="C61" s="46"/>
      <c r="D61" s="45" t="str">
        <f>IF(OR(D41="",D42=""),"",SUM(D49:D59))</f>
        <v/>
      </c>
      <c r="E61" s="46"/>
      <c r="F61" s="45" t="str">
        <f>IF(OR(F41="",F42=""),"",SUM(F49:F59))</f>
        <v/>
      </c>
      <c r="G61" s="57"/>
      <c r="H61" s="44" t="s">
        <v>89</v>
      </c>
      <c r="I61" s="10"/>
    </row>
    <row r="62" spans="1:9" hidden="1" x14ac:dyDescent="0.25">
      <c r="G62" s="21"/>
      <c r="H62" s="47"/>
    </row>
    <row r="63" spans="1:9" hidden="1" x14ac:dyDescent="0.25">
      <c r="G63" s="21"/>
      <c r="H63" s="47"/>
    </row>
    <row r="64" spans="1:9" hidden="1" x14ac:dyDescent="0.25">
      <c r="A64" s="42" t="s">
        <v>91</v>
      </c>
      <c r="G64" s="21"/>
    </row>
    <row r="65" spans="1:9" ht="8.25" hidden="1" customHeight="1" x14ac:dyDescent="0.25">
      <c r="A65" s="42"/>
      <c r="G65" s="21"/>
    </row>
    <row r="66" spans="1:9" hidden="1" x14ac:dyDescent="0.25">
      <c r="B66" s="43">
        <f>IF(OR(B41="",B42=""),"",IF(B$6=1,6250+(6250*0.5), 6250+(6250*0.454545454545455*(B$6-1))))</f>
        <v>31818.181818181845</v>
      </c>
      <c r="C66" s="43"/>
      <c r="D66" s="43" t="str">
        <f>IF(OR(D41="",D42=""),"",IF(D$6=1,6250+(6250*0.5), 6250+(6250*0.454545454545455*(D$6-1))))</f>
        <v/>
      </c>
      <c r="E66" s="43"/>
      <c r="F66" s="43" t="str">
        <f>IF(OR(F41="",F42=""),"",IF(F$6=1,6250+(6250*0.5), 6250+(6250*0.454545454545455*(F$6-1))))</f>
        <v/>
      </c>
      <c r="G66" s="56"/>
      <c r="H66" s="26" t="s">
        <v>65</v>
      </c>
      <c r="I66" s="10"/>
    </row>
    <row r="67" spans="1:9" hidden="1" x14ac:dyDescent="0.25">
      <c r="B67" s="43">
        <f>IF(OR(B41="",B42=""),"",IF(B$6=1,3000+(3000*0.5), 3000+(3000*0.181818181818182*(B$6-1))))</f>
        <v>7909.0909090909136</v>
      </c>
      <c r="C67" s="43"/>
      <c r="D67" s="43" t="str">
        <f>IF(OR(D41="",D42=""),"",IF(D$6=1,3000+(3000*0.5), 3000+(3000*0.181818181818182*(D$6-1))))</f>
        <v/>
      </c>
      <c r="E67" s="43"/>
      <c r="F67" s="43" t="str">
        <f>IF(OR(F41="",F42=""),"",IF(F$6=1,3000+(3000*0.5), 3000+(3000*0.181818181818182*(F$6-1))))</f>
        <v/>
      </c>
      <c r="G67" s="56"/>
      <c r="H67" s="26" t="s">
        <v>66</v>
      </c>
      <c r="I67" s="10"/>
    </row>
    <row r="68" spans="1:9" hidden="1" x14ac:dyDescent="0.25">
      <c r="B68" s="43">
        <f>IF(OR(B41="",B42=""),"",IF(B$6=1,10890+(10890*0.4), 10890+(10890*0.454545454545455*(B$6-1))))</f>
        <v>55440.000000000044</v>
      </c>
      <c r="C68" s="43"/>
      <c r="D68" s="43" t="str">
        <f>IF(OR(D41="",D42=""),"",IF(D$6=1,10890+(10890*0.4), 10890+(10890*0.454545454545455*(D$6-1))))</f>
        <v/>
      </c>
      <c r="E68" s="43"/>
      <c r="F68" s="43" t="str">
        <f>IF(OR(F41="",F42=""),"",IF(F$6=1,10890+(10890*0.4), 10890+(10890*0.454545454545455*(F$6-1))))</f>
        <v/>
      </c>
      <c r="G68" s="56"/>
      <c r="H68" s="26" t="s">
        <v>67</v>
      </c>
      <c r="I68" s="10"/>
    </row>
    <row r="69" spans="1:9" hidden="1" x14ac:dyDescent="0.25">
      <c r="B69" s="43">
        <f>IF(OR(B41="",B42=""),"",IF(B$6=1,7240+(7240*0.5), 7240+(7240*0.454545454545455*(B$6-1))))</f>
        <v>36858.181818181853</v>
      </c>
      <c r="C69" s="43"/>
      <c r="D69" s="43" t="str">
        <f>IF(OR(D41="",D42=""),"",IF(D$6=1,7240+(7240*0.5), 7240+(7240*0.454545454545455*(D$6-1))))</f>
        <v/>
      </c>
      <c r="E69" s="43"/>
      <c r="F69" s="43" t="str">
        <f>IF(OR(F41="",F42=""),"",IF(F$6=1,7240+(7240*0.5), 7240+(7240*0.454545454545455*(F$6-1))))</f>
        <v/>
      </c>
      <c r="G69" s="56"/>
      <c r="H69" s="26" t="s">
        <v>68</v>
      </c>
      <c r="I69" s="10"/>
    </row>
    <row r="70" spans="1:9" hidden="1" x14ac:dyDescent="0.25">
      <c r="B70" s="43">
        <f>IF(OR(B41="",B42=""),"",(ROUNDUP((0.8*B$41*30.9551*B$42)+(0.5*2.7184*B42),0)))</f>
        <v>179862</v>
      </c>
      <c r="C70" s="43"/>
      <c r="D70" s="43" t="str">
        <f>IF(OR(D41="",D42=""),"",(ROUNDUP((0.8*D$41*30.9551*D$42)+(0.5*2.7184*D42),0)))</f>
        <v/>
      </c>
      <c r="E70" s="43"/>
      <c r="F70" s="43" t="str">
        <f>IF(OR(F41="",F42=""),"",(ROUNDUP((0.8*F$41*30.9551*F$42)+(0.5*2.7184*F42),0)))</f>
        <v/>
      </c>
      <c r="G70" s="56"/>
      <c r="H70" s="48" t="s">
        <v>81</v>
      </c>
      <c r="I70" s="10"/>
    </row>
    <row r="71" spans="1:9" hidden="1" x14ac:dyDescent="0.25">
      <c r="B71" s="43">
        <f>IF(OR(B41="",B42=""),"",IF(B$6=1,B70+(B70*3), B70+(B70*2.09090909090909*(B$6-1))))</f>
        <v>3564537.8181818165</v>
      </c>
      <c r="C71" s="43"/>
      <c r="D71" s="43" t="str">
        <f>IF(OR(D41="",D42=""),"",IF(D$6=1,D70+(D70*3), D70+(D70*2.09090909090909*(D$6-1))))</f>
        <v/>
      </c>
      <c r="E71" s="43"/>
      <c r="F71" s="43" t="str">
        <f>IF(OR(F41="",F42=""),"",IF(F$6=1,F70+(F70*3), F70+(F70*2.09090909090909*(F$6-1))))</f>
        <v/>
      </c>
      <c r="G71" s="56"/>
      <c r="H71" s="26" t="s">
        <v>83</v>
      </c>
      <c r="I71" s="10"/>
    </row>
    <row r="72" spans="1:9" hidden="1" x14ac:dyDescent="0.25">
      <c r="B72" s="43">
        <f>IF(OR(B41="",B42=""),"",((((2*B$41)+30)*100)+8000))</f>
        <v>37400</v>
      </c>
      <c r="C72" s="43"/>
      <c r="D72" s="43" t="str">
        <f>IF(OR(D41="",D42=""),"",((((2*D$41)+30)*100)+8000))</f>
        <v/>
      </c>
      <c r="E72" s="43"/>
      <c r="F72" s="43" t="str">
        <f>IF(OR(F41="",F42=""),"",((((2*F$41)+30)*100)+8000))</f>
        <v/>
      </c>
      <c r="G72" s="56"/>
      <c r="H72" s="48" t="s">
        <v>81</v>
      </c>
      <c r="I72" s="10"/>
    </row>
    <row r="73" spans="1:9" hidden="1" x14ac:dyDescent="0.25">
      <c r="B73" s="43">
        <f>IF(OR(B41="",B42=""),"",IF(B$6=1,B72+(B72*2), B72+(B72*1*(B$6-1))))</f>
        <v>374000</v>
      </c>
      <c r="C73" s="43"/>
      <c r="D73" s="43" t="str">
        <f>IF(OR(D41="",D42=""),"",IF(D$6=1,D72+(D72*2), D72+(D72*1*(D$6-1))))</f>
        <v/>
      </c>
      <c r="E73" s="43"/>
      <c r="F73" s="43" t="str">
        <f>IF(OR(F41="",F42=""),"",IF(F$6=1,F72+(F72*2), F72+(F72*1*(F$6-1))))</f>
        <v/>
      </c>
      <c r="G73" s="56"/>
      <c r="H73" s="26" t="s">
        <v>80</v>
      </c>
      <c r="I73" s="10"/>
    </row>
    <row r="74" spans="1:9" hidden="1" x14ac:dyDescent="0.25">
      <c r="B74" s="43">
        <f>IF(OR(B41="",B42=""),"",ROUNDUP(4.3*B$39/B$6,0))</f>
        <v>30702</v>
      </c>
      <c r="C74" s="43"/>
      <c r="D74" s="43" t="str">
        <f>IF(OR(D41="",D42=""),"",ROUNDUP(4.3*D$39/D$6,0))</f>
        <v/>
      </c>
      <c r="E74" s="43"/>
      <c r="F74" s="43" t="str">
        <f>IF(OR(F41="",F42=""),"",ROUNDUP(4.3*F$39/F$6,0))</f>
        <v/>
      </c>
      <c r="G74" s="56"/>
      <c r="H74" s="48" t="s">
        <v>81</v>
      </c>
      <c r="I74" s="10"/>
    </row>
    <row r="75" spans="1:9" hidden="1" x14ac:dyDescent="0.25">
      <c r="B75" s="43">
        <f>IF(OR(B41="",B42=""),"",IF(B$6=1,B74+(B74*1), B74+(B74*2.09090909090909*(B$6-1))))</f>
        <v>608457.81818181789</v>
      </c>
      <c r="C75" s="43"/>
      <c r="D75" s="43" t="str">
        <f>IF(OR(D41="",D42=""),"",IF(D$6=1,D74+(D74*1), D74+(D74*2.09090909090909*(D$6-1))))</f>
        <v/>
      </c>
      <c r="E75" s="43"/>
      <c r="F75" s="43" t="str">
        <f>IF(OR(F41="",F42=""),"",IF(F$6=1,F74+(F74*1), F74+(F74*2.09090909090909*(F$6-1))))</f>
        <v/>
      </c>
      <c r="G75" s="56"/>
      <c r="H75" s="26" t="s">
        <v>69</v>
      </c>
      <c r="I75" s="10"/>
    </row>
    <row r="76" spans="1:9" hidden="1" x14ac:dyDescent="0.25">
      <c r="B76" s="43">
        <f>IF(OR(B41="",B42=""),"",IF(B$6=1,800+(800*1.5), 800+(800*0.363636363636364*(B$6-1))))</f>
        <v>3418.1818181818203</v>
      </c>
      <c r="C76" s="43"/>
      <c r="D76" s="43" t="str">
        <f>IF(OR(D41="",D42=""),"",IF(D$6=1,800+(800*1.5), 800+(800*0.363636363636364*(D$6-1))))</f>
        <v/>
      </c>
      <c r="E76" s="43"/>
      <c r="F76" s="43" t="str">
        <f>IF(OR(F41="",F42=""),"",IF(F$6=1,800+(800*1.5), 800+(800*0.363636363636364*(F$6-1))))</f>
        <v/>
      </c>
      <c r="G76" s="56"/>
      <c r="H76" s="26" t="s">
        <v>73</v>
      </c>
      <c r="I76" s="10"/>
    </row>
    <row r="77" spans="1:9" hidden="1" x14ac:dyDescent="0.25">
      <c r="B77" s="43">
        <f>IF(OR(B41="",B42=""),"",IF(B$6=1,1500+(1500*1), 1500+(1500*0.272727272727273*(B$6-1))))</f>
        <v>5181.8181818181856</v>
      </c>
      <c r="C77" s="43"/>
      <c r="D77" s="43" t="str">
        <f>IF(OR(D41="",D42=""),"",IF(D$6=1,1500+(1500*1), 1500+(1500*0.272727272727273*(D$6-1))))</f>
        <v/>
      </c>
      <c r="E77" s="43"/>
      <c r="F77" s="43" t="str">
        <f>IF(OR(F41="",F42=""),"",IF(F$6=1,1500+(1500*1), 1500+(1500*0.272727272727273*(F$6-1))))</f>
        <v/>
      </c>
      <c r="G77" s="56"/>
      <c r="H77" s="26" t="s">
        <v>79</v>
      </c>
      <c r="I77" s="10"/>
    </row>
    <row r="78" spans="1:9" hidden="1" x14ac:dyDescent="0.25">
      <c r="B78" s="43">
        <f>IF(OR(B41="",B42=""),"",IF(B$6=1,6000+(6000*2), 6000+(6000*0.363636363636364*(B$6-1))))</f>
        <v>25636.363636363654</v>
      </c>
      <c r="C78" s="43"/>
      <c r="D78" s="43" t="str">
        <f>IF(OR(D41="",D42=""),"",IF(D$6=1,6000+(6000*2), 6000+(6000*0.363636363636364*(D$6-1))))</f>
        <v/>
      </c>
      <c r="E78" s="43"/>
      <c r="F78" s="43" t="str">
        <f>IF(OR(F41="",F42=""),"",IF(F$6=1,6000+(6000*2), 6000+(6000*0.363636363636364*(F$6-1))))</f>
        <v/>
      </c>
      <c r="G78" s="56"/>
      <c r="H78" s="26" t="s">
        <v>70</v>
      </c>
      <c r="I78" s="10"/>
    </row>
    <row r="79" spans="1:9" hidden="1" x14ac:dyDescent="0.25">
      <c r="B79" s="43">
        <f>IF(OR(B41="",B42=""),"",ROUNDUP(SUM(B66+B67+B68+B69+B71+B73+B75+B76+B77+B78)*0.1,0))</f>
        <v>471326</v>
      </c>
      <c r="C79" s="43"/>
      <c r="D79" s="43" t="str">
        <f>IF(OR(D41="",D42=""),"",ROUNDUP(SUM(D66+D67+D68+D69+D71+D73+D75+D76+D77+D78)*0.1,0))</f>
        <v/>
      </c>
      <c r="E79" s="43"/>
      <c r="F79" s="43" t="str">
        <f>IF(OR(F41="",F42=""),"",ROUNDUP(SUM(F66+F67+F68+F69+F71+F73+F75+F76+F77+F78)*0.1,0))</f>
        <v/>
      </c>
      <c r="G79" s="56"/>
      <c r="H79" s="44" t="s">
        <v>71</v>
      </c>
      <c r="I79" s="10"/>
    </row>
    <row r="80" spans="1:9" ht="8.25" hidden="1" customHeight="1" x14ac:dyDescent="0.25">
      <c r="B80" s="43"/>
      <c r="C80" s="43"/>
      <c r="D80" s="43"/>
      <c r="E80" s="43"/>
      <c r="F80" s="43"/>
      <c r="G80" s="56"/>
      <c r="H80" s="44"/>
    </row>
    <row r="81" spans="1:9" ht="30" hidden="1" customHeight="1" x14ac:dyDescent="0.25">
      <c r="B81" s="45">
        <f>IF(OR(B41="",B42=""),"",SUM(B66,B67,B68,B69,B71,B73,B75,B76,B77,B78,B79))</f>
        <v>5184583.4545454523</v>
      </c>
      <c r="C81" s="46"/>
      <c r="D81" s="45" t="str">
        <f>IF(OR(D41="",D42=""),"",SUM(D66,D67,D68,D69,D71,D73,D75,D76,D77,D78,D79))</f>
        <v/>
      </c>
      <c r="E81" s="46"/>
      <c r="F81" s="45" t="str">
        <f>IF(OR(F41="",F42=""),"",SUM(F66,F67,F68,F69,F71,F73,F75,F76,F77,F78,F79))</f>
        <v/>
      </c>
      <c r="G81" s="57"/>
      <c r="H81" s="44" t="s">
        <v>89</v>
      </c>
      <c r="I81" s="10"/>
    </row>
    <row r="82" spans="1:9" hidden="1" x14ac:dyDescent="0.25">
      <c r="G82" s="21"/>
      <c r="H82" s="47"/>
    </row>
    <row r="83" spans="1:9" ht="30" hidden="1" customHeight="1" x14ac:dyDescent="0.25">
      <c r="A83" s="89" t="s">
        <v>84</v>
      </c>
      <c r="B83" s="89"/>
      <c r="C83" s="89"/>
      <c r="D83" s="89"/>
      <c r="E83" s="89"/>
      <c r="F83" s="89"/>
      <c r="G83" s="89"/>
      <c r="H83" s="89"/>
    </row>
    <row r="84" spans="1:9" hidden="1" x14ac:dyDescent="0.25">
      <c r="A84" s="90" t="s">
        <v>85</v>
      </c>
      <c r="B84" s="90"/>
      <c r="C84" s="90"/>
      <c r="D84" s="90"/>
      <c r="E84" s="90"/>
      <c r="F84" s="90"/>
      <c r="G84" s="90"/>
      <c r="H84" s="90"/>
    </row>
    <row r="85" spans="1:9" hidden="1" x14ac:dyDescent="0.25">
      <c r="A85" s="90"/>
      <c r="B85" s="90"/>
      <c r="C85" s="90"/>
      <c r="D85" s="90"/>
      <c r="E85" s="90"/>
      <c r="F85" s="90"/>
      <c r="G85" s="90"/>
      <c r="H85" s="90"/>
    </row>
    <row r="86" spans="1:9" x14ac:dyDescent="0.25">
      <c r="A86" s="79" t="s">
        <v>162</v>
      </c>
      <c r="B86" s="79"/>
      <c r="C86" s="79"/>
      <c r="D86" s="79"/>
      <c r="E86" s="79"/>
      <c r="F86" s="79"/>
      <c r="G86" s="79"/>
      <c r="H86" s="79"/>
    </row>
    <row r="87" spans="1:9" x14ac:dyDescent="0.25">
      <c r="A87" s="79"/>
      <c r="B87" s="79"/>
      <c r="C87" s="79"/>
      <c r="D87" s="79"/>
      <c r="E87" s="79"/>
      <c r="F87" s="79"/>
      <c r="G87" s="79"/>
      <c r="H87" s="79"/>
    </row>
    <row r="88" spans="1:9" ht="10.5" customHeight="1" x14ac:dyDescent="0.25">
      <c r="A88" s="85" t="s">
        <v>144</v>
      </c>
      <c r="B88" s="85"/>
      <c r="C88" s="85"/>
      <c r="D88" s="85"/>
      <c r="E88" s="85"/>
      <c r="F88" s="85"/>
      <c r="G88" s="85"/>
      <c r="H88" s="85"/>
    </row>
    <row r="89" spans="1:9" ht="25.5" customHeight="1" x14ac:dyDescent="0.25">
      <c r="A89" s="85" t="s">
        <v>143</v>
      </c>
      <c r="B89" s="85"/>
      <c r="C89" s="85"/>
      <c r="D89" s="85"/>
      <c r="E89" s="85"/>
      <c r="F89" s="85"/>
      <c r="G89" s="85"/>
      <c r="H89" s="85"/>
    </row>
    <row r="90" spans="1:9" ht="27" hidden="1" customHeight="1" x14ac:dyDescent="0.25">
      <c r="A90" s="85" t="s">
        <v>88</v>
      </c>
      <c r="B90" s="85"/>
      <c r="C90" s="85"/>
      <c r="D90" s="85"/>
      <c r="E90" s="85"/>
      <c r="F90" s="85"/>
      <c r="G90" s="85"/>
      <c r="H90" s="85"/>
    </row>
    <row r="91" spans="1:9" x14ac:dyDescent="0.25">
      <c r="A91" s="85" t="s">
        <v>142</v>
      </c>
      <c r="B91" s="85"/>
      <c r="C91" s="85"/>
      <c r="D91" s="85"/>
      <c r="E91" s="85"/>
      <c r="F91" s="85"/>
      <c r="G91" s="85"/>
      <c r="H91" s="85"/>
      <c r="I91" s="5"/>
    </row>
  </sheetData>
  <sheetProtection algorithmName="SHA-512" hashValue="AuG/30xlNCNvstKaiajbXC0u+ie5EQuacnNsbj7vqFV8hIUGynGsq/Qry9CV5D30DpyWC5gZlDe+RF8Fu+UNGQ==" saltValue="IHrUPbkSeVef5gA+x6b0jA==" spinCount="100000" sheet="1" objects="1" scenarios="1" selectLockedCells="1"/>
  <mergeCells count="11">
    <mergeCell ref="D2:I2"/>
    <mergeCell ref="D3:I3"/>
    <mergeCell ref="A83:H83"/>
    <mergeCell ref="A84:H84"/>
    <mergeCell ref="A85:H85"/>
    <mergeCell ref="H24:H25"/>
    <mergeCell ref="A91:H91"/>
    <mergeCell ref="A88:H88"/>
    <mergeCell ref="A89:H89"/>
    <mergeCell ref="A90:H90"/>
    <mergeCell ref="A4:I4"/>
  </mergeCells>
  <dataValidations count="8">
    <dataValidation type="whole" operator="greaterThanOrEqual" allowBlank="1" showInputMessage="1" showErrorMessage="1" sqref="G6 E6 C6">
      <formula1>1</formula1>
    </dataValidation>
    <dataValidation type="decimal" allowBlank="1" showInputMessage="1" showErrorMessage="1" sqref="B18:G18">
      <formula1>0.03</formula1>
      <formula2>0.1</formula2>
    </dataValidation>
    <dataValidation type="decimal" allowBlank="1" showInputMessage="1" showErrorMessage="1" sqref="B16:G16">
      <formula1>0.5</formula1>
      <formula2>0.95</formula2>
    </dataValidation>
    <dataValidation type="decimal" allowBlank="1" showInputMessage="1" showErrorMessage="1" sqref="B28 D28 F28 B34 D34 F34">
      <formula1>0</formula1>
      <formula2>1</formula2>
    </dataValidation>
    <dataValidation type="decimal" allowBlank="1" showInputMessage="1" showErrorMessage="1" sqref="B30 D30 F30">
      <formula1>1</formula1>
      <formula2>20</formula2>
    </dataValidation>
    <dataValidation type="whole" allowBlank="1" showInputMessage="1" showErrorMessage="1" sqref="F6">
      <formula1>1</formula1>
      <formula2>100</formula2>
    </dataValidation>
    <dataValidation type="whole" allowBlank="1" showInputMessage="1" showErrorMessage="1" sqref="B26 D26 F26 B6 D6">
      <formula1>1</formula1>
      <formula2>100</formula2>
    </dataValidation>
    <dataValidation type="decimal" allowBlank="1" showInputMessage="1" showErrorMessage="1" sqref="B23 D23 F23">
      <formula1>0</formula1>
      <formula2>9</formula2>
    </dataValidation>
  </dataValidations>
  <hyperlinks>
    <hyperlink ref="I31" r:id="rId1"/>
    <hyperlink ref="I29" r:id="rId2"/>
  </hyperlinks>
  <pageMargins left="0.70866141732283472" right="0.70866141732283472" top="0.74803149606299213" bottom="0.74803149606299213" header="0.31496062992125984" footer="0.31496062992125984"/>
  <pageSetup paperSize="9" scale="68" fitToHeight="4"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 tables'!$B$2:$B$3</xm:f>
          </x14:formula1>
          <xm:sqref>B20:G20</xm:sqref>
        </x14:dataValidation>
        <x14:dataValidation type="list" allowBlank="1" showInputMessage="1" showErrorMessage="1">
          <x14:formula1>
            <xm:f>'Look-up tables'!$C$2:$C$3</xm:f>
          </x14:formula1>
          <xm:sqref>E23 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9"/>
  <sheetViews>
    <sheetView zoomScaleNormal="100" workbookViewId="0">
      <selection activeCell="B6" sqref="B6"/>
    </sheetView>
  </sheetViews>
  <sheetFormatPr defaultRowHeight="15" x14ac:dyDescent="0.25"/>
  <cols>
    <col min="1" max="1" width="15.28515625" style="10" customWidth="1"/>
    <col min="2" max="2" width="9.42578125" style="3" customWidth="1"/>
    <col min="3" max="3" width="2.28515625" style="3" customWidth="1"/>
    <col min="4" max="4" width="9.42578125" style="3" customWidth="1"/>
    <col min="5" max="5" width="2.28515625" style="3" customWidth="1"/>
    <col min="6" max="6" width="9.28515625" style="3" customWidth="1"/>
    <col min="7" max="7" width="2.28515625" style="3" customWidth="1"/>
    <col min="8" max="8" width="66.85546875" style="4" customWidth="1"/>
    <col min="9" max="9" width="11" style="13" customWidth="1"/>
    <col min="10" max="16384" width="9.140625" style="10"/>
  </cols>
  <sheetData>
    <row r="1" spans="1:9" s="14" customFormat="1" ht="20.25" thickBot="1" x14ac:dyDescent="0.35">
      <c r="A1" s="51" t="s">
        <v>49</v>
      </c>
      <c r="B1" s="3"/>
      <c r="C1" s="3"/>
      <c r="D1" s="3"/>
      <c r="E1" s="3"/>
      <c r="F1" s="3"/>
      <c r="G1" s="3"/>
      <c r="H1" s="4"/>
      <c r="I1" s="13"/>
    </row>
    <row r="2" spans="1:9" s="14" customFormat="1" ht="15.75" thickTop="1" x14ac:dyDescent="0.25">
      <c r="A2" s="6" t="s">
        <v>4</v>
      </c>
      <c r="B2" s="7"/>
      <c r="C2" s="7"/>
      <c r="D2" s="87" t="s">
        <v>160</v>
      </c>
      <c r="E2" s="87"/>
      <c r="F2" s="87"/>
      <c r="G2" s="87"/>
      <c r="H2" s="87"/>
      <c r="I2" s="87"/>
    </row>
    <row r="3" spans="1:9" s="14" customFormat="1" ht="92.25" customHeight="1" thickBot="1" x14ac:dyDescent="0.3">
      <c r="A3" s="8" t="s">
        <v>5</v>
      </c>
      <c r="B3" s="9"/>
      <c r="C3" s="9"/>
      <c r="D3" s="88" t="s">
        <v>161</v>
      </c>
      <c r="E3" s="88"/>
      <c r="F3" s="88"/>
      <c r="G3" s="88"/>
      <c r="H3" s="88"/>
      <c r="I3" s="88"/>
    </row>
    <row r="4" spans="1:9" s="15" customFormat="1" ht="34.5" customHeight="1" thickTop="1" x14ac:dyDescent="0.25">
      <c r="A4" s="86" t="s">
        <v>145</v>
      </c>
      <c r="B4" s="86"/>
      <c r="C4" s="86"/>
      <c r="D4" s="86"/>
      <c r="E4" s="86"/>
      <c r="F4" s="86"/>
      <c r="G4" s="86"/>
      <c r="H4" s="86"/>
      <c r="I4" s="86"/>
    </row>
    <row r="5" spans="1:9" ht="55.5" thickBot="1" x14ac:dyDescent="0.3">
      <c r="B5" s="12" t="s">
        <v>6</v>
      </c>
      <c r="C5" s="12"/>
      <c r="D5" s="11" t="s">
        <v>7</v>
      </c>
      <c r="E5" s="12"/>
      <c r="F5" s="11" t="s">
        <v>8</v>
      </c>
      <c r="G5" s="12"/>
      <c r="I5" s="16" t="s">
        <v>146</v>
      </c>
    </row>
    <row r="6" spans="1:9" s="14" customFormat="1" ht="30" customHeight="1" thickTop="1" thickBot="1" x14ac:dyDescent="0.3">
      <c r="A6" s="17" t="s">
        <v>16</v>
      </c>
      <c r="B6" s="59"/>
      <c r="C6" s="49"/>
      <c r="D6" s="59"/>
      <c r="E6" s="19"/>
      <c r="F6" s="59"/>
      <c r="G6" s="52"/>
      <c r="H6" s="20" t="s">
        <v>18</v>
      </c>
      <c r="I6" s="13"/>
    </row>
    <row r="7" spans="1:9" ht="65.25" thickTop="1" x14ac:dyDescent="0.25">
      <c r="C7" s="21"/>
      <c r="E7" s="21"/>
      <c r="G7" s="21"/>
      <c r="H7" s="5" t="s">
        <v>164</v>
      </c>
    </row>
    <row r="8" spans="1:9" s="14" customFormat="1" ht="30" customHeight="1" collapsed="1" x14ac:dyDescent="0.25">
      <c r="A8" s="17" t="s">
        <v>17</v>
      </c>
      <c r="B8" s="22" t="str">
        <f>IF(OR(B21="",B23="",B25="",B27=""),"",B17)</f>
        <v/>
      </c>
      <c r="C8" s="23"/>
      <c r="D8" s="22" t="str">
        <f>IF(OR(D21="",D23="",D25="",D27=""),"",D17)</f>
        <v/>
      </c>
      <c r="E8" s="23"/>
      <c r="F8" s="22" t="str">
        <f>IF(OR(F21="",F23="",F25="",F27=""),"",F17)</f>
        <v/>
      </c>
      <c r="G8" s="53"/>
      <c r="H8" s="20" t="s">
        <v>19</v>
      </c>
      <c r="I8" s="13"/>
    </row>
    <row r="9" spans="1:9" hidden="1" x14ac:dyDescent="0.25">
      <c r="A9" s="24" t="s">
        <v>57</v>
      </c>
      <c r="B9" s="10">
        <f>B21</f>
        <v>0</v>
      </c>
      <c r="C9" s="25"/>
      <c r="D9" s="10">
        <f t="shared" ref="D9:F9" si="0">D21</f>
        <v>0</v>
      </c>
      <c r="E9" s="25"/>
      <c r="F9" s="10">
        <f t="shared" si="0"/>
        <v>0</v>
      </c>
      <c r="G9" s="25"/>
      <c r="H9" s="10"/>
      <c r="I9" s="26"/>
    </row>
    <row r="10" spans="1:9" hidden="1" x14ac:dyDescent="0.25">
      <c r="A10" s="27" t="s">
        <v>58</v>
      </c>
      <c r="B10" s="10">
        <f>B23</f>
        <v>0</v>
      </c>
      <c r="C10" s="25"/>
      <c r="D10" s="10">
        <f t="shared" ref="D10:F10" si="1">D23</f>
        <v>0</v>
      </c>
      <c r="E10" s="25"/>
      <c r="F10" s="10">
        <f t="shared" si="1"/>
        <v>0</v>
      </c>
      <c r="G10" s="25"/>
      <c r="H10" s="10"/>
      <c r="I10" s="26"/>
    </row>
    <row r="11" spans="1:9" hidden="1" x14ac:dyDescent="0.25">
      <c r="A11" s="27" t="s">
        <v>60</v>
      </c>
      <c r="B11" s="10">
        <f>(B9+(B13*B10))/(B13+1)</f>
        <v>0</v>
      </c>
      <c r="C11" s="25"/>
      <c r="D11" s="10">
        <f t="shared" ref="D11:F11" si="2">(D9+(D13*D10))/(D13+1)</f>
        <v>0</v>
      </c>
      <c r="E11" s="25"/>
      <c r="F11" s="10">
        <f t="shared" si="2"/>
        <v>0</v>
      </c>
      <c r="G11" s="25"/>
      <c r="H11" s="10"/>
      <c r="I11" s="26"/>
    </row>
    <row r="12" spans="1:9" hidden="1" x14ac:dyDescent="0.25">
      <c r="A12" s="24" t="s">
        <v>44</v>
      </c>
      <c r="B12" s="10">
        <f>ABS(B9-B10)</f>
        <v>0</v>
      </c>
      <c r="C12" s="25"/>
      <c r="D12" s="10">
        <f t="shared" ref="D12:F12" si="3">ABS(D9-D10)</f>
        <v>0</v>
      </c>
      <c r="E12" s="25"/>
      <c r="F12" s="10">
        <f t="shared" si="3"/>
        <v>0</v>
      </c>
      <c r="G12" s="25"/>
      <c r="H12" s="10"/>
      <c r="I12" s="26"/>
    </row>
    <row r="13" spans="1:9" hidden="1" x14ac:dyDescent="0.25">
      <c r="A13" s="27" t="s">
        <v>59</v>
      </c>
      <c r="B13" s="10">
        <v>1</v>
      </c>
      <c r="C13" s="25"/>
      <c r="D13" s="10">
        <v>1</v>
      </c>
      <c r="E13" s="25"/>
      <c r="F13" s="10">
        <v>1</v>
      </c>
      <c r="G13" s="25"/>
      <c r="H13" s="10"/>
      <c r="I13" s="26"/>
    </row>
    <row r="14" spans="1:9" s="28" customFormat="1" hidden="1" x14ac:dyDescent="0.25">
      <c r="A14" s="28" t="s">
        <v>45</v>
      </c>
      <c r="B14" s="24" t="e">
        <f>_xlfn.NORM.S.INV(1-(B25/2))</f>
        <v>#NUM!</v>
      </c>
      <c r="C14" s="29"/>
      <c r="D14" s="24" t="e">
        <f t="shared" ref="D14" si="4">_xlfn.NORM.S.INV(1-(D25/2))</f>
        <v>#NUM!</v>
      </c>
      <c r="E14" s="29"/>
      <c r="F14" s="24" t="e">
        <f>_xlfn.NORM.S.INV(1-(F25/2))</f>
        <v>#NUM!</v>
      </c>
      <c r="G14" s="29"/>
      <c r="H14" s="30"/>
      <c r="I14" s="13"/>
    </row>
    <row r="15" spans="1:9" s="28" customFormat="1" hidden="1" x14ac:dyDescent="0.25">
      <c r="A15" s="27" t="s">
        <v>37</v>
      </c>
      <c r="B15" s="24" t="e">
        <f>_xlfn.NORM.S.INV(B27)</f>
        <v>#NUM!</v>
      </c>
      <c r="C15" s="29"/>
      <c r="D15" s="24" t="e">
        <f t="shared" ref="D15:F15" si="5">_xlfn.NORM.S.INV(D27)</f>
        <v>#NUM!</v>
      </c>
      <c r="E15" s="29"/>
      <c r="F15" s="24" t="e">
        <f t="shared" si="5"/>
        <v>#NUM!</v>
      </c>
      <c r="G15" s="29"/>
      <c r="H15" s="30"/>
      <c r="I15" s="13"/>
    </row>
    <row r="16" spans="1:9" s="28" customFormat="1" hidden="1" x14ac:dyDescent="0.25">
      <c r="A16" s="27" t="s">
        <v>38</v>
      </c>
      <c r="B16" s="24" t="e">
        <f>(((B14*SQRT((B13+1)*B11*(1-B11)))+(B15*SQRT((B13*B9*(1-B9))+(B10*(1-B10)))))^2)/(B13*((B10-B9)^2))</f>
        <v>#NUM!</v>
      </c>
      <c r="C16" s="29"/>
      <c r="D16" s="24" t="e">
        <f>(((D14*SQRT((D13+1)*D11*(1-D11)))+(D15*SQRT((D13*D9*(1-D9))+(D10*(1-D10)))))^2)/(D13*((D10-D9)^2))</f>
        <v>#NUM!</v>
      </c>
      <c r="E16" s="29"/>
      <c r="F16" s="24" t="e">
        <f>(((F14*SQRT((F13+1)*F11*(1-F11)))+(F15*SQRT((F13*F9*(1-F9))+(F10*(1-F10)))))^2)/(F13*((F10-F9)^2))</f>
        <v>#NUM!</v>
      </c>
      <c r="G16" s="29"/>
      <c r="H16" s="30"/>
      <c r="I16" s="13"/>
    </row>
    <row r="17" spans="1:9" s="28" customFormat="1" hidden="1" x14ac:dyDescent="0.25">
      <c r="A17" s="27" t="s">
        <v>39</v>
      </c>
      <c r="B17" s="24" t="e">
        <f>ROUND(B16/4*((1+SQRT(1+((2*(B13+1))/(B16*B13*ABS(B10-B9)))))^2),0)</f>
        <v>#NUM!</v>
      </c>
      <c r="C17" s="29"/>
      <c r="D17" s="24" t="e">
        <f>ROUND(D16/4*((1+SQRT(1+((2*(D13+1))/(D16*D13*ABS(D10-D9)))))^2),0)</f>
        <v>#NUM!</v>
      </c>
      <c r="E17" s="29"/>
      <c r="F17" s="24" t="e">
        <f>ROUND(F16/4*((1+SQRT(1+((2*(F13+1))/(F16*F13*ABS(F10-F9)))))^2),0)</f>
        <v>#NUM!</v>
      </c>
      <c r="G17" s="29"/>
      <c r="H17" s="30"/>
      <c r="I17" s="13"/>
    </row>
    <row r="18" spans="1:9" ht="39.75" thickBot="1" x14ac:dyDescent="0.3">
      <c r="C18" s="21"/>
      <c r="E18" s="21"/>
      <c r="G18" s="21"/>
      <c r="H18" s="5" t="s">
        <v>171</v>
      </c>
    </row>
    <row r="19" spans="1:9" s="14" customFormat="1" ht="30" hidden="1" customHeight="1" x14ac:dyDescent="0.3">
      <c r="A19" s="31" t="s">
        <v>0</v>
      </c>
      <c r="B19" s="18"/>
      <c r="C19" s="19"/>
      <c r="D19" s="18"/>
      <c r="E19" s="19"/>
      <c r="F19" s="18"/>
      <c r="G19" s="58"/>
      <c r="H19" s="20" t="s">
        <v>50</v>
      </c>
      <c r="I19" s="13" t="s">
        <v>86</v>
      </c>
    </row>
    <row r="20" spans="1:9" ht="78" hidden="1" thickBot="1" x14ac:dyDescent="0.3">
      <c r="C20" s="21"/>
      <c r="E20" s="21"/>
      <c r="G20" s="21"/>
      <c r="H20" s="5" t="s">
        <v>54</v>
      </c>
    </row>
    <row r="21" spans="1:9" s="14" customFormat="1" ht="30" customHeight="1" thickTop="1" thickBot="1" x14ac:dyDescent="0.3">
      <c r="A21" s="37" t="s">
        <v>0</v>
      </c>
      <c r="B21" s="59"/>
      <c r="C21" s="19"/>
      <c r="D21" s="59"/>
      <c r="E21" s="19"/>
      <c r="F21" s="59"/>
      <c r="G21" s="52"/>
      <c r="H21" s="20" t="s">
        <v>55</v>
      </c>
      <c r="I21" s="13"/>
    </row>
    <row r="22" spans="1:9" ht="27.75" thickTop="1" thickBot="1" x14ac:dyDescent="0.3">
      <c r="C22" s="21"/>
      <c r="E22" s="21"/>
      <c r="G22" s="21"/>
      <c r="H22" s="5" t="s">
        <v>169</v>
      </c>
    </row>
    <row r="23" spans="1:9" s="14" customFormat="1" ht="30" customHeight="1" thickTop="1" thickBot="1" x14ac:dyDescent="0.3">
      <c r="A23" s="37" t="s">
        <v>1</v>
      </c>
      <c r="B23" s="59"/>
      <c r="C23" s="19"/>
      <c r="D23" s="59"/>
      <c r="E23" s="19"/>
      <c r="F23" s="59"/>
      <c r="G23" s="52"/>
      <c r="H23" s="20" t="s">
        <v>56</v>
      </c>
      <c r="I23" s="13"/>
    </row>
    <row r="24" spans="1:9" ht="27.75" thickTop="1" thickBot="1" x14ac:dyDescent="0.3">
      <c r="C24" s="21"/>
      <c r="E24" s="21"/>
      <c r="G24" s="21"/>
      <c r="H24" s="5" t="s">
        <v>170</v>
      </c>
    </row>
    <row r="25" spans="1:9" s="14" customFormat="1" ht="30" customHeight="1" thickTop="1" thickBot="1" x14ac:dyDescent="0.3">
      <c r="A25" s="37" t="s">
        <v>2</v>
      </c>
      <c r="B25" s="59"/>
      <c r="C25" s="19"/>
      <c r="D25" s="59"/>
      <c r="E25" s="19"/>
      <c r="F25" s="59"/>
      <c r="G25" s="52"/>
      <c r="H25" s="4" t="s">
        <v>20</v>
      </c>
      <c r="I25" s="13"/>
    </row>
    <row r="26" spans="1:9" ht="40.5" thickTop="1" thickBot="1" x14ac:dyDescent="0.3">
      <c r="C26" s="21"/>
      <c r="E26" s="21"/>
      <c r="G26" s="21"/>
      <c r="H26" s="5" t="s">
        <v>154</v>
      </c>
    </row>
    <row r="27" spans="1:9" s="14" customFormat="1" ht="30" customHeight="1" thickTop="1" thickBot="1" x14ac:dyDescent="0.3">
      <c r="A27" s="37" t="s">
        <v>3</v>
      </c>
      <c r="B27" s="59"/>
      <c r="C27" s="19"/>
      <c r="D27" s="59"/>
      <c r="E27" s="19"/>
      <c r="F27" s="59"/>
      <c r="G27" s="52"/>
      <c r="H27" s="4" t="s">
        <v>61</v>
      </c>
      <c r="I27" s="13"/>
    </row>
    <row r="28" spans="1:9" ht="40.5" thickTop="1" thickBot="1" x14ac:dyDescent="0.3">
      <c r="C28" s="21"/>
      <c r="E28" s="21"/>
      <c r="G28" s="21"/>
      <c r="H28" s="5" t="s">
        <v>155</v>
      </c>
    </row>
    <row r="29" spans="1:9" ht="15.75" hidden="1" thickBot="1" x14ac:dyDescent="0.3">
      <c r="B29" s="3">
        <f>MAX(B30:B31)</f>
        <v>0</v>
      </c>
      <c r="C29" s="21"/>
      <c r="D29" s="3">
        <f>MAX(D30:D31)</f>
        <v>0</v>
      </c>
      <c r="E29" s="21"/>
      <c r="F29" s="3">
        <f>MAX(F30:F31)</f>
        <v>0</v>
      </c>
      <c r="G29" s="21"/>
      <c r="H29" s="5"/>
    </row>
    <row r="30" spans="1:9" ht="27.75" customHeight="1" thickTop="1" thickBot="1" x14ac:dyDescent="0.3">
      <c r="A30" s="17" t="s">
        <v>15</v>
      </c>
      <c r="B30" s="59"/>
      <c r="C30" s="19"/>
      <c r="D30" s="59"/>
      <c r="E30" s="19"/>
      <c r="F30" s="59"/>
      <c r="G30" s="21"/>
      <c r="H30" s="20" t="s">
        <v>21</v>
      </c>
    </row>
    <row r="31" spans="1:9" s="14" customFormat="1" ht="30" customHeight="1" thickTop="1" x14ac:dyDescent="0.25">
      <c r="B31" s="60" t="str">
        <f t="shared" ref="B31:D31" si="6">IF(OR(B33="",B35=""),"",1+(B33-1)*B35)</f>
        <v/>
      </c>
      <c r="C31" s="23"/>
      <c r="D31" s="60" t="str">
        <f t="shared" si="6"/>
        <v/>
      </c>
      <c r="E31" s="23"/>
      <c r="F31" s="60" t="str">
        <f>IF(OR(F33="",F35=""),"",1+(F33-1)*F35)</f>
        <v/>
      </c>
      <c r="G31" s="53"/>
      <c r="H31" s="91" t="s">
        <v>166</v>
      </c>
      <c r="I31" s="13"/>
    </row>
    <row r="32" spans="1:9" ht="111" customHeight="1" thickBot="1" x14ac:dyDescent="0.3">
      <c r="C32" s="21"/>
      <c r="E32" s="21"/>
      <c r="G32" s="21"/>
      <c r="H32" s="91"/>
    </row>
    <row r="33" spans="1:9" s="14" customFormat="1" ht="30" customHeight="1" thickTop="1" thickBot="1" x14ac:dyDescent="0.3">
      <c r="A33" s="37" t="s">
        <v>14</v>
      </c>
      <c r="B33" s="59"/>
      <c r="C33" s="19"/>
      <c r="D33" s="59"/>
      <c r="E33" s="19"/>
      <c r="F33" s="59"/>
      <c r="G33" s="52"/>
      <c r="H33" s="4" t="s">
        <v>24</v>
      </c>
      <c r="I33" s="13"/>
    </row>
    <row r="34" spans="1:9" ht="65.25" customHeight="1" thickTop="1" thickBot="1" x14ac:dyDescent="0.3">
      <c r="C34" s="21"/>
      <c r="E34" s="21"/>
      <c r="G34" s="21"/>
      <c r="H34" s="5" t="s">
        <v>156</v>
      </c>
    </row>
    <row r="35" spans="1:9" s="14" customFormat="1" ht="30" customHeight="1" thickTop="1" thickBot="1" x14ac:dyDescent="0.3">
      <c r="A35" s="37" t="s">
        <v>13</v>
      </c>
      <c r="B35" s="59"/>
      <c r="C35" s="32"/>
      <c r="D35" s="59"/>
      <c r="E35" s="32"/>
      <c r="F35" s="59"/>
      <c r="G35" s="52"/>
      <c r="H35" s="4" t="s">
        <v>22</v>
      </c>
      <c r="I35" s="13"/>
    </row>
    <row r="36" spans="1:9" ht="129" thickTop="1" thickBot="1" x14ac:dyDescent="0.3">
      <c r="C36" s="21"/>
      <c r="E36" s="21"/>
      <c r="G36" s="21"/>
      <c r="H36" s="13" t="s">
        <v>172</v>
      </c>
      <c r="I36" s="61" t="s">
        <v>26</v>
      </c>
    </row>
    <row r="37" spans="1:9" s="14" customFormat="1" ht="30" customHeight="1" thickTop="1" thickBot="1" x14ac:dyDescent="0.3">
      <c r="A37" s="17" t="s">
        <v>12</v>
      </c>
      <c r="B37" s="59"/>
      <c r="C37" s="19"/>
      <c r="D37" s="59"/>
      <c r="E37" s="19"/>
      <c r="F37" s="59"/>
      <c r="G37" s="52"/>
      <c r="H37" s="20" t="s">
        <v>23</v>
      </c>
      <c r="I37" s="13"/>
    </row>
    <row r="38" spans="1:9" ht="129" customHeight="1" thickTop="1" x14ac:dyDescent="0.25">
      <c r="A38" s="26"/>
      <c r="B38" s="33"/>
      <c r="C38" s="34"/>
      <c r="D38" s="33"/>
      <c r="E38" s="34"/>
      <c r="F38" s="33"/>
      <c r="G38" s="34"/>
      <c r="H38" s="13" t="s">
        <v>172</v>
      </c>
      <c r="I38" s="61" t="s">
        <v>25</v>
      </c>
    </row>
    <row r="39" spans="1:9" s="14" customFormat="1" ht="30" customHeight="1" x14ac:dyDescent="0.25">
      <c r="A39" s="17" t="s">
        <v>27</v>
      </c>
      <c r="B39" s="35" t="str">
        <f>IF(B41="","",1/B41)</f>
        <v/>
      </c>
      <c r="C39" s="36"/>
      <c r="D39" s="35" t="str">
        <f>IF(D41="","",1/D41)</f>
        <v/>
      </c>
      <c r="E39" s="36"/>
      <c r="F39" s="35" t="str">
        <f>IF(F41="","",1/F41)</f>
        <v/>
      </c>
      <c r="G39" s="54"/>
      <c r="H39" s="20" t="s">
        <v>148</v>
      </c>
      <c r="I39" s="13"/>
    </row>
    <row r="40" spans="1:9" ht="65.25" thickBot="1" x14ac:dyDescent="0.3">
      <c r="C40" s="21"/>
      <c r="E40" s="21"/>
      <c r="G40" s="21"/>
      <c r="H40" s="5" t="s">
        <v>168</v>
      </c>
    </row>
    <row r="41" spans="1:9" ht="30" customHeight="1" thickTop="1" thickBot="1" x14ac:dyDescent="0.3">
      <c r="A41" s="37" t="s">
        <v>28</v>
      </c>
      <c r="B41" s="59"/>
      <c r="C41" s="19"/>
      <c r="D41" s="59"/>
      <c r="E41" s="19"/>
      <c r="F41" s="59"/>
      <c r="G41" s="52"/>
      <c r="H41" s="20" t="s">
        <v>147</v>
      </c>
    </row>
    <row r="42" spans="1:9" ht="52.5" thickTop="1" x14ac:dyDescent="0.25">
      <c r="C42" s="21"/>
      <c r="E42" s="21"/>
      <c r="G42" s="21"/>
      <c r="H42" s="5" t="s">
        <v>158</v>
      </c>
    </row>
    <row r="43" spans="1:9" x14ac:dyDescent="0.25">
      <c r="C43" s="21"/>
      <c r="E43" s="21"/>
      <c r="G43" s="21"/>
      <c r="H43" s="5"/>
    </row>
    <row r="44" spans="1:9" ht="19.5" x14ac:dyDescent="0.3">
      <c r="A44" s="38" t="s">
        <v>72</v>
      </c>
      <c r="B44" s="81"/>
      <c r="C44" s="21"/>
      <c r="D44" s="81"/>
      <c r="E44" s="21"/>
      <c r="F44" s="81"/>
      <c r="G44" s="21"/>
    </row>
    <row r="45" spans="1:9" ht="8.25" customHeight="1" x14ac:dyDescent="0.3">
      <c r="A45" s="38"/>
      <c r="C45" s="21"/>
      <c r="E45" s="21"/>
      <c r="G45" s="21"/>
    </row>
    <row r="46" spans="1:9" s="14" customFormat="1" ht="30" customHeight="1" x14ac:dyDescent="0.25">
      <c r="A46" s="39" t="s">
        <v>152</v>
      </c>
      <c r="B46" s="77" t="str">
        <f>IF(OR(B6="",B8="",B29=0),"",ROUNDUP(B6*B8*B29,0))</f>
        <v/>
      </c>
      <c r="C46" s="78"/>
      <c r="D46" s="77" t="str">
        <f>IF(OR(D6="",D8="",D29=0),"",ROUNDUP(D6*D8*D29,0))</f>
        <v/>
      </c>
      <c r="E46" s="78"/>
      <c r="F46" s="77" t="str">
        <f>IF(OR(F6="",F8="",F29=0),"",ROUNDUP(F6*F8*F29,0))</f>
        <v/>
      </c>
      <c r="G46" s="55"/>
      <c r="H46" s="40" t="s">
        <v>77</v>
      </c>
      <c r="I46" s="13"/>
    </row>
    <row r="47" spans="1:9" s="14" customFormat="1" ht="30" customHeight="1" x14ac:dyDescent="0.25">
      <c r="A47" s="39" t="s">
        <v>153</v>
      </c>
      <c r="B47" s="77" t="str">
        <f>IF(OR(B6="",B8="",B29=0,B37="",B39=""),"",ROUNDUP(B46*B37*B39,0))</f>
        <v/>
      </c>
      <c r="C47" s="78"/>
      <c r="D47" s="77" t="str">
        <f>IF(OR(D6="",D8="",D29=0,D37="",D39=""),"",ROUNDUP(D46*D37*D39,0))</f>
        <v/>
      </c>
      <c r="E47" s="78"/>
      <c r="F47" s="77" t="str">
        <f>IF(OR(F6="",F8="",F29=0,F37="",F39=""),"",ROUNDUP(F46*F37*F39,0))</f>
        <v/>
      </c>
      <c r="G47" s="55"/>
      <c r="H47" s="40" t="s">
        <v>150</v>
      </c>
      <c r="I47" s="13"/>
    </row>
    <row r="48" spans="1:9" s="14" customFormat="1" ht="30" customHeight="1" x14ac:dyDescent="0.25">
      <c r="A48" s="39" t="s">
        <v>149</v>
      </c>
      <c r="B48" s="77" t="str">
        <f>IF(OR(B8="",B29=0,B37="",B39=""),"",ROUNDUP(B8*B29*B37*B39,0))</f>
        <v/>
      </c>
      <c r="C48" s="78"/>
      <c r="D48" s="77" t="str">
        <f>IF(OR(D8="",D29=0,D37="",D39=""),"",ROUNDUP(D8*D29*D37*D39,0))</f>
        <v/>
      </c>
      <c r="E48" s="78"/>
      <c r="F48" s="77" t="str">
        <f>IF(OR(F8="",F29=0,F37="",F39=""),"",ROUNDUP(F8*F29*F37*F39,0))</f>
        <v/>
      </c>
      <c r="G48" s="55"/>
      <c r="H48" s="40" t="s">
        <v>151</v>
      </c>
      <c r="I48" s="13"/>
    </row>
    <row r="49" spans="1:9" s="14" customFormat="1" ht="30" customHeight="1" x14ac:dyDescent="0.25">
      <c r="A49" s="39" t="s">
        <v>30</v>
      </c>
      <c r="B49" s="77" t="str">
        <f>IF(OR(B8="",B29=0,B33=""),"",ROUNDUP(B8*B29/B33,0))</f>
        <v/>
      </c>
      <c r="C49" s="78"/>
      <c r="D49" s="77" t="str">
        <f>IF(OR(D8="",D29=0,D33=""),"",ROUNDUP(D8*D29/D33,0))</f>
        <v/>
      </c>
      <c r="E49" s="78"/>
      <c r="F49" s="77" t="str">
        <f>IF(OR(F8="",F29=0,F33=""),"",ROUNDUP(F8*F29/F33,0))</f>
        <v/>
      </c>
      <c r="G49" s="55"/>
      <c r="H49" s="40" t="s">
        <v>76</v>
      </c>
      <c r="I49" s="13"/>
    </row>
    <row r="50" spans="1:9" s="14" customFormat="1" ht="30" customHeight="1" x14ac:dyDescent="0.25">
      <c r="A50" s="26" t="s">
        <v>11</v>
      </c>
      <c r="B50" s="77" t="str">
        <f>IF(OR(B37="",B39="",B33=""),"",ROUNDUP(B37*B39*B33,0))</f>
        <v/>
      </c>
      <c r="C50" s="78"/>
      <c r="D50" s="77" t="str">
        <f t="shared" ref="D50:F50" si="7">IF(OR(D37="",D39="",D33=""),"",ROUNDUP(D37*D39*D33,0))</f>
        <v/>
      </c>
      <c r="E50" s="78"/>
      <c r="F50" s="77" t="str">
        <f t="shared" si="7"/>
        <v/>
      </c>
      <c r="G50" s="55"/>
      <c r="H50" s="40" t="s">
        <v>75</v>
      </c>
      <c r="I50" s="13"/>
    </row>
    <row r="51" spans="1:9" s="14" customFormat="1" ht="30" customHeight="1" x14ac:dyDescent="0.25">
      <c r="A51" s="41" t="s">
        <v>40</v>
      </c>
      <c r="B51" s="77" t="str">
        <f>IF(OR(B49="",B6=""),"",B49*B6)</f>
        <v/>
      </c>
      <c r="C51" s="78"/>
      <c r="D51" s="77" t="str">
        <f>IF(OR(D49="",D6=""),"",D49*D6)</f>
        <v/>
      </c>
      <c r="E51" s="78"/>
      <c r="F51" s="77" t="str">
        <f>IF(OR(F49="",F6=""),"",F49*F6)</f>
        <v/>
      </c>
      <c r="G51" s="55"/>
      <c r="H51" s="40" t="s">
        <v>74</v>
      </c>
      <c r="I51" s="13"/>
    </row>
    <row r="52" spans="1:9" ht="28.5" customHeight="1" x14ac:dyDescent="0.25">
      <c r="B52" s="80"/>
      <c r="D52" s="80"/>
      <c r="F52" s="80"/>
      <c r="G52" s="21"/>
    </row>
    <row r="53" spans="1:9" ht="19.5" hidden="1" x14ac:dyDescent="0.3">
      <c r="A53" s="38" t="s">
        <v>78</v>
      </c>
      <c r="C53" s="21"/>
      <c r="E53" s="21"/>
      <c r="G53" s="21"/>
    </row>
    <row r="54" spans="1:9" ht="8.25" hidden="1" customHeight="1" x14ac:dyDescent="0.3">
      <c r="A54" s="38"/>
      <c r="C54" s="21"/>
      <c r="E54" s="21"/>
      <c r="G54" s="21"/>
    </row>
    <row r="55" spans="1:9" hidden="1" x14ac:dyDescent="0.25">
      <c r="A55" s="42" t="s">
        <v>90</v>
      </c>
      <c r="G55" s="21"/>
    </row>
    <row r="56" spans="1:9" ht="8.25" hidden="1" customHeight="1" x14ac:dyDescent="0.25">
      <c r="A56" s="42"/>
      <c r="G56" s="21"/>
    </row>
    <row r="57" spans="1:9" hidden="1" x14ac:dyDescent="0.25">
      <c r="B57" s="43" t="str">
        <f>IF(OR(B49="",B50=""),"",6250+(6250*0.272727272727273*(B$6-1)))</f>
        <v/>
      </c>
      <c r="C57" s="43"/>
      <c r="D57" s="43" t="str">
        <f>IF(OR(D49="",D50=""),"",6250+(6250*0.272727272727273*(D$6-1)))</f>
        <v/>
      </c>
      <c r="E57" s="43"/>
      <c r="F57" s="43" t="str">
        <f>IF(OR(F49="",F50=""),"",6250+(6250*0.272727272727273*(F$6-1)))</f>
        <v/>
      </c>
      <c r="G57" s="56"/>
      <c r="H57" s="26" t="s">
        <v>65</v>
      </c>
      <c r="I57" s="10"/>
    </row>
    <row r="58" spans="1:9" hidden="1" x14ac:dyDescent="0.25">
      <c r="B58" s="43" t="str">
        <f>IF(OR(B49="",B50=""),"",3000+(3000*0.090909090909091*(B$6-1)))</f>
        <v/>
      </c>
      <c r="C58" s="43"/>
      <c r="D58" s="43" t="str">
        <f>IF(OR(D49="",D50=""),"",3000+(3000*0.090909090909091*(D$6-1)))</f>
        <v/>
      </c>
      <c r="E58" s="43"/>
      <c r="F58" s="43" t="str">
        <f>IF(OR(F49="",F50=""),"",3000+(3000*0.090909090909091*(F$6-1)))</f>
        <v/>
      </c>
      <c r="G58" s="56"/>
      <c r="H58" s="26" t="s">
        <v>66</v>
      </c>
      <c r="I58" s="10"/>
    </row>
    <row r="59" spans="1:9" hidden="1" x14ac:dyDescent="0.25">
      <c r="B59" s="43" t="str">
        <f>IF(OR(B49="",B50=""),"",10890+(10890*0.272727272727273*(B$6-1)))</f>
        <v/>
      </c>
      <c r="C59" s="43"/>
      <c r="D59" s="43" t="str">
        <f>IF(OR(D49="",D50=""),"",10890+(10890*0.272727272727273*(D$6-1)))</f>
        <v/>
      </c>
      <c r="E59" s="43"/>
      <c r="F59" s="43" t="str">
        <f>IF(OR(F49="",F50=""),"",10890+(10890*0.272727272727273*(F$6-1)))</f>
        <v/>
      </c>
      <c r="G59" s="56"/>
      <c r="H59" s="26" t="s">
        <v>67</v>
      </c>
      <c r="I59" s="10"/>
    </row>
    <row r="60" spans="1:9" hidden="1" x14ac:dyDescent="0.25">
      <c r="B60" s="43" t="str">
        <f>IF(OR(B49="",B50=""),"",7240+(7240*0.272727272727273*(B$6-1)))</f>
        <v/>
      </c>
      <c r="C60" s="43"/>
      <c r="D60" s="43" t="str">
        <f>IF(OR(D49="",D50=""),"",7240+(7240*0.272727272727273*(D$6-1)))</f>
        <v/>
      </c>
      <c r="E60" s="43"/>
      <c r="F60" s="43" t="str">
        <f>IF(OR(F49="",F50=""),"",7240+(7240*0.272727272727273*(F$6-1)))</f>
        <v/>
      </c>
      <c r="G60" s="56"/>
      <c r="H60" s="26" t="s">
        <v>68</v>
      </c>
      <c r="I60" s="10"/>
    </row>
    <row r="61" spans="1:9" hidden="1" x14ac:dyDescent="0.25">
      <c r="B61" s="43" t="str">
        <f>IF(OR(B49="",B50=""),"",(ROUNDUP((0.8*B$50*30.9551*B$49)+(0.5*2.7184*B$49),0))+((ROUNDUP((0.8*B$50*30.9551*B$49)+(0.5*2.7184*B$49),0))*0.636363636363636*(B$6-1)))</f>
        <v/>
      </c>
      <c r="C61" s="43"/>
      <c r="D61" s="43" t="str">
        <f>IF(OR(D49="",D50=""),"",(ROUNDUP((0.8*D$50*30.9551*D$49)+(0.5*2.7184*D$49),0))+((ROUNDUP((0.8*D$50*30.9551*D$49)+(0.5*2.7184*D$49),0))*0.636363636363636*(D$6-1)))</f>
        <v/>
      </c>
      <c r="E61" s="43"/>
      <c r="F61" s="43" t="str">
        <f>IF(OR(F49="",F50=""),"",(ROUNDUP((0.8*F$50*30.9551*F$49)+(0.5*2.7184*F$49),0))+((ROUNDUP((0.8*F$50*30.9551*F$49)+(0.5*2.7184*F$49),0))*0.636363636363636*(F$6-1)))</f>
        <v/>
      </c>
      <c r="G61" s="56"/>
      <c r="H61" s="26" t="s">
        <v>83</v>
      </c>
      <c r="I61" s="10"/>
    </row>
    <row r="62" spans="1:9" hidden="1" x14ac:dyDescent="0.25">
      <c r="B62" s="43" t="str">
        <f>IF(OR(B49="",B50=""),"",((((2*B$49)+30)*100)+8000)+(((((2*B$49)+30)*100)+8000)*0.636363636363636*(B$6-1)))</f>
        <v/>
      </c>
      <c r="C62" s="43"/>
      <c r="D62" s="43" t="str">
        <f>IF(OR(D49="",D50=""),"",((((2*D$49)+30)*100)+8000)+(((((2*D$49)+30)*100)+8000)*0.636363636363636*(D$6-1)))</f>
        <v/>
      </c>
      <c r="E62" s="43"/>
      <c r="F62" s="43" t="str">
        <f>IF(OR(F49="",F50=""),"",((((2*F$49)+30)*100)+8000)+(((((2*F$49)+30)*100)+8000)*0.636363636363636*(F$6-1)))</f>
        <v/>
      </c>
      <c r="G62" s="56"/>
      <c r="H62" s="26" t="s">
        <v>80</v>
      </c>
      <c r="I62" s="10"/>
    </row>
    <row r="63" spans="1:9" hidden="1" x14ac:dyDescent="0.25">
      <c r="B63" s="43" t="str">
        <f>IF(OR(B49="",B50=""),"",(ROUNDUP(3.8*B$47/B$6,0))+((ROUNDUP(3.8*B$47/B$6,0))*0.636363636363636*(B$6-1)))</f>
        <v/>
      </c>
      <c r="C63" s="43"/>
      <c r="D63" s="43" t="str">
        <f>IF(OR(D49="",D50=""),"",(ROUNDUP(3.8*D$47/D$6,0))+((ROUNDUP(3.8*D$47/D$6,0))*0.636363636363636*(D$6-1)))</f>
        <v/>
      </c>
      <c r="E63" s="43"/>
      <c r="F63" s="43" t="str">
        <f>IF(OR(F49="",F50=""),"",(ROUNDUP(3.8*F$47/F$6,0))+((ROUNDUP(3.8*F$47/F$6,0))*0.636363636363636*(F$6-1)))</f>
        <v/>
      </c>
      <c r="G63" s="56"/>
      <c r="H63" s="26" t="s">
        <v>69</v>
      </c>
      <c r="I63" s="10"/>
    </row>
    <row r="64" spans="1:9" hidden="1" x14ac:dyDescent="0.25">
      <c r="B64" s="43" t="str">
        <f>IF(OR(B49="",B50=""),"",800+(800*0.0454545454545455*(B$6-1)))</f>
        <v/>
      </c>
      <c r="C64" s="43"/>
      <c r="D64" s="43" t="str">
        <f>IF(OR(D49="",D50=""),"",800+(800*0.0454545454545455*(D$6-1)))</f>
        <v/>
      </c>
      <c r="E64" s="43"/>
      <c r="F64" s="43" t="str">
        <f>IF(OR(F49="",F50=""),"",800+(800*0.0454545454545455*(F$6-1)))</f>
        <v/>
      </c>
      <c r="G64" s="56"/>
      <c r="H64" s="26" t="s">
        <v>73</v>
      </c>
      <c r="I64" s="10"/>
    </row>
    <row r="65" spans="1:9" hidden="1" x14ac:dyDescent="0.25">
      <c r="B65" s="43" t="str">
        <f>IF(OR(B49="",B50=""),"",1500+(1500*0.090909090909091*(B$6-1)))</f>
        <v/>
      </c>
      <c r="C65" s="43"/>
      <c r="D65" s="43" t="str">
        <f>IF(OR(D49="",D50=""),"",1500+(1500*0.090909090909091*(D$6-1)))</f>
        <v/>
      </c>
      <c r="E65" s="43"/>
      <c r="F65" s="43" t="str">
        <f>IF(OR(F49="",F50=""),"",1500+(1500*0.090909090909091*(F$6-1)))</f>
        <v/>
      </c>
      <c r="G65" s="56"/>
      <c r="H65" s="26" t="s">
        <v>79</v>
      </c>
      <c r="I65" s="10"/>
    </row>
    <row r="66" spans="1:9" hidden="1" x14ac:dyDescent="0.25">
      <c r="B66" s="43" t="str">
        <f>IF(OR(B49="",B50=""),"",6000+(6000*0.0454545454545455*(B$6-1)))</f>
        <v/>
      </c>
      <c r="C66" s="43"/>
      <c r="D66" s="43" t="str">
        <f>IF(OR(D49="",D50=""),"",6000+(6000*0.0454545454545455*(D$6-1)))</f>
        <v/>
      </c>
      <c r="E66" s="43"/>
      <c r="F66" s="43" t="str">
        <f>IF(OR(F49="",F50=""),"",6000+(6000*0.0454545454545455*(F$6-1)))</f>
        <v/>
      </c>
      <c r="G66" s="56"/>
      <c r="H66" s="26" t="s">
        <v>70</v>
      </c>
      <c r="I66" s="10"/>
    </row>
    <row r="67" spans="1:9" hidden="1" x14ac:dyDescent="0.25">
      <c r="B67" s="43" t="str">
        <f>IF(OR(B49="",B50=""),"",ROUNDUP(SUM(B57:B66)*0.1,0))</f>
        <v/>
      </c>
      <c r="C67" s="43"/>
      <c r="D67" s="43" t="str">
        <f>IF(OR(D49="",D50=""),"",ROUNDUP(SUM(D57:D66)*0.1,0))</f>
        <v/>
      </c>
      <c r="E67" s="43"/>
      <c r="F67" s="43" t="str">
        <f>IF(OR(F49="",F50=""),"",ROUNDUP(SUM(F57:F66)*0.1,0))</f>
        <v/>
      </c>
      <c r="G67" s="56"/>
      <c r="H67" s="44" t="s">
        <v>71</v>
      </c>
      <c r="I67" s="10"/>
    </row>
    <row r="68" spans="1:9" ht="8.25" hidden="1" customHeight="1" x14ac:dyDescent="0.25">
      <c r="B68" s="43"/>
      <c r="C68" s="43"/>
      <c r="D68" s="43"/>
      <c r="E68" s="43"/>
      <c r="F68" s="43"/>
      <c r="G68" s="56"/>
      <c r="H68" s="44"/>
    </row>
    <row r="69" spans="1:9" ht="30" hidden="1" customHeight="1" x14ac:dyDescent="0.25">
      <c r="B69" s="45" t="str">
        <f>IF(OR(B49="",B50=""),"",SUM(B57:B67))</f>
        <v/>
      </c>
      <c r="C69" s="46"/>
      <c r="D69" s="45" t="str">
        <f>IF(OR(D49="",D50=""),"",SUM(D57:D67))</f>
        <v/>
      </c>
      <c r="E69" s="46"/>
      <c r="F69" s="45" t="str">
        <f>IF(OR(F49="",F50=""),"",SUM(F57:F67))</f>
        <v/>
      </c>
      <c r="G69" s="57"/>
      <c r="H69" s="44" t="s">
        <v>82</v>
      </c>
      <c r="I69" s="10"/>
    </row>
    <row r="70" spans="1:9" hidden="1" x14ac:dyDescent="0.25">
      <c r="G70" s="21"/>
      <c r="H70" s="47"/>
    </row>
    <row r="71" spans="1:9" hidden="1" x14ac:dyDescent="0.25">
      <c r="G71" s="21"/>
      <c r="H71" s="47"/>
    </row>
    <row r="72" spans="1:9" hidden="1" x14ac:dyDescent="0.25">
      <c r="A72" s="42" t="s">
        <v>91</v>
      </c>
      <c r="G72" s="21"/>
    </row>
    <row r="73" spans="1:9" ht="8.25" hidden="1" customHeight="1" x14ac:dyDescent="0.25">
      <c r="A73" s="42"/>
      <c r="G73" s="21"/>
    </row>
    <row r="74" spans="1:9" hidden="1" x14ac:dyDescent="0.25">
      <c r="B74" s="43" t="str">
        <f>IF(OR(B49="",B50=""),"",IF(B$6=1,6250+(6250*0.5),6250+(6250*0.454545454545455*(B$6-1))))</f>
        <v/>
      </c>
      <c r="C74" s="43"/>
      <c r="D74" s="43" t="str">
        <f>IF(OR(D49="",D50=""),"",IF(D$6=1,6250+(6250*0.5),6250+(6250*0.454545454545455*(D$6-1))))</f>
        <v/>
      </c>
      <c r="E74" s="43"/>
      <c r="F74" s="43" t="str">
        <f>IF(OR(F49="",F50=""),"",IF(F$6=1,6250+(6250*0.5),6250+(6250*0.454545454545455*(F$6-1))))</f>
        <v/>
      </c>
      <c r="G74" s="56"/>
      <c r="H74" s="26" t="s">
        <v>65</v>
      </c>
      <c r="I74" s="10"/>
    </row>
    <row r="75" spans="1:9" hidden="1" x14ac:dyDescent="0.25">
      <c r="B75" s="43" t="str">
        <f>IF(OR(B49="",B50=""),"",IF(B$6=1,3000+(3000*0.5), 3000+(3000*0.181818181818182*(B$6-1))))</f>
        <v/>
      </c>
      <c r="C75" s="43"/>
      <c r="D75" s="43" t="str">
        <f>IF(OR(D49="",D50=""),"",IF(D$6=1,3000+(3000*0.5), 3000+(3000*0.181818181818182*(D$6-1))))</f>
        <v/>
      </c>
      <c r="E75" s="43"/>
      <c r="F75" s="43" t="str">
        <f>IF(OR(F49="",F50=""),"",IF(F$6=1,3000+(3000*0.5), 3000+(3000*0.181818181818182*(F$6-1))))</f>
        <v/>
      </c>
      <c r="G75" s="56"/>
      <c r="H75" s="26" t="s">
        <v>66</v>
      </c>
      <c r="I75" s="10"/>
    </row>
    <row r="76" spans="1:9" hidden="1" x14ac:dyDescent="0.25">
      <c r="B76" s="43" t="str">
        <f>IF(OR(B49="",B50=""),"",IF(B$6=1,10890+(10890*0.4), 10890+(10890*0.454545454545455*(B$6-1))))</f>
        <v/>
      </c>
      <c r="C76" s="43"/>
      <c r="D76" s="43" t="str">
        <f>IF(OR(D49="",D50=""),"",IF(D$6=1,10890+(10890*0.4), 10890+(10890*0.454545454545455*(D$6-1))))</f>
        <v/>
      </c>
      <c r="E76" s="43"/>
      <c r="F76" s="43" t="str">
        <f>IF(OR(F49="",F50=""),"",IF(F$6=1,10890+(10890*0.4), 10890+(10890*0.454545454545455*(F$6-1))))</f>
        <v/>
      </c>
      <c r="G76" s="56"/>
      <c r="H76" s="26" t="s">
        <v>67</v>
      </c>
      <c r="I76" s="10"/>
    </row>
    <row r="77" spans="1:9" hidden="1" x14ac:dyDescent="0.25">
      <c r="B77" s="43" t="str">
        <f>IF(OR(B49="",B50=""),"",IF(B$6=1,7240+(7240*0.5), 7240+(7240*0.454545454545455*(B$6-1))))</f>
        <v/>
      </c>
      <c r="C77" s="43"/>
      <c r="D77" s="43" t="str">
        <f>IF(OR(D49="",D50=""),"",IF(D$6=1,7240+(7240*0.5), 7240+(7240*0.454545454545455*(D$6-1))))</f>
        <v/>
      </c>
      <c r="E77" s="43"/>
      <c r="F77" s="43" t="str">
        <f>IF(OR(F49="",F50=""),"",IF(F$6=1,7240+(7240*0.5), 7240+(7240*0.454545454545455*(F$6-1))))</f>
        <v/>
      </c>
      <c r="G77" s="56"/>
      <c r="H77" s="26" t="s">
        <v>68</v>
      </c>
      <c r="I77" s="10"/>
    </row>
    <row r="78" spans="1:9" hidden="1" x14ac:dyDescent="0.25">
      <c r="B78" s="43" t="e">
        <f>(ROUNDUP((0.8*B$50*30.9551*B$49)+(0.5*2.7184*B49),0))</f>
        <v>#VALUE!</v>
      </c>
      <c r="C78" s="43"/>
      <c r="D78" s="43" t="e">
        <f>(ROUNDUP((0.8*D$50*30.9551*D$49)+(0.5*2.7184*D49),0))</f>
        <v>#VALUE!</v>
      </c>
      <c r="E78" s="43"/>
      <c r="F78" s="43" t="e">
        <f>(ROUNDUP((0.8*F$50*30.9551*F$49)+(0.5*2.7184*F49),0))</f>
        <v>#VALUE!</v>
      </c>
      <c r="G78" s="56"/>
      <c r="H78" s="48" t="s">
        <v>81</v>
      </c>
      <c r="I78" s="10"/>
    </row>
    <row r="79" spans="1:9" hidden="1" x14ac:dyDescent="0.25">
      <c r="B79" s="43" t="str">
        <f>IF(OR(B49="",B50=""),"",IF(B$6=1,B78+(B78*3), B78+(B78*2.09090909090909*(B$6-1))))</f>
        <v/>
      </c>
      <c r="C79" s="43"/>
      <c r="D79" s="43" t="str">
        <f>IF(OR(D49="",D50=""),"",IF(D$6=1,D78+(D78*3), D78+(D78*2.09090909090909*(D$6-1))))</f>
        <v/>
      </c>
      <c r="E79" s="43"/>
      <c r="F79" s="43" t="str">
        <f>IF(OR(F49="",F50=""),"",IF(F$6=1,F78+(F78*3), F78+(F78*2.09090909090909*(F$6-1))))</f>
        <v/>
      </c>
      <c r="G79" s="56"/>
      <c r="H79" s="26" t="s">
        <v>83</v>
      </c>
      <c r="I79" s="10"/>
    </row>
    <row r="80" spans="1:9" hidden="1" x14ac:dyDescent="0.25">
      <c r="B80" s="43" t="e">
        <f>((((2*B$49)+30)*100)+8000)</f>
        <v>#VALUE!</v>
      </c>
      <c r="C80" s="43"/>
      <c r="D80" s="43" t="e">
        <f>((((2*D$49)+30)*100)+8000)</f>
        <v>#VALUE!</v>
      </c>
      <c r="E80" s="43"/>
      <c r="F80" s="43" t="e">
        <f>((((2*F$49)+30)*100)+8000)</f>
        <v>#VALUE!</v>
      </c>
      <c r="G80" s="56"/>
      <c r="H80" s="48" t="s">
        <v>81</v>
      </c>
      <c r="I80" s="10"/>
    </row>
    <row r="81" spans="1:9" hidden="1" x14ac:dyDescent="0.25">
      <c r="B81" s="43" t="str">
        <f>IF(OR(B49="",B50=""),"",IF(B$6=1,B80+(B80*2), B80+(B80*1*(B$6-1))))</f>
        <v/>
      </c>
      <c r="C81" s="43"/>
      <c r="D81" s="43" t="str">
        <f>IF(OR(D49="",D50=""),"",IF(D$6=1,D80+(D80*2), D80+(D80*1*(D$6-1))))</f>
        <v/>
      </c>
      <c r="E81" s="43"/>
      <c r="F81" s="43" t="str">
        <f>IF(OR(F49="",F50=""),"",IF(F$6=1,F80+(F80*2), F80+(F80*1*(F$6-1))))</f>
        <v/>
      </c>
      <c r="G81" s="56"/>
      <c r="H81" s="26" t="s">
        <v>80</v>
      </c>
      <c r="I81" s="10"/>
    </row>
    <row r="82" spans="1:9" hidden="1" x14ac:dyDescent="0.25">
      <c r="B82" s="43" t="e">
        <f>ROUNDUP(4.3*B$47/B$6,0)</f>
        <v>#VALUE!</v>
      </c>
      <c r="C82" s="43"/>
      <c r="D82" s="43" t="e">
        <f>ROUNDUP(4.3*D$47/D$6,0)</f>
        <v>#VALUE!</v>
      </c>
      <c r="E82" s="43"/>
      <c r="F82" s="43" t="e">
        <f>ROUNDUP(4.3*F$47/F$6,0)</f>
        <v>#VALUE!</v>
      </c>
      <c r="G82" s="56"/>
      <c r="H82" s="48" t="s">
        <v>81</v>
      </c>
      <c r="I82" s="10"/>
    </row>
    <row r="83" spans="1:9" hidden="1" x14ac:dyDescent="0.25">
      <c r="B83" s="43" t="str">
        <f>IF(OR(B49="",B50=""),"",IF(B$6=1,B82+(B82*1), B82+(B82*2.09090909090909*(B$6-1))))</f>
        <v/>
      </c>
      <c r="C83" s="43"/>
      <c r="D83" s="43" t="str">
        <f>IF(OR(D49="",D50=""),"",IF(D$6=1,D82+(D82*1), D82+(D82*2.09090909090909*(D$6-1))))</f>
        <v/>
      </c>
      <c r="E83" s="43"/>
      <c r="F83" s="43" t="str">
        <f>IF(OR(F49="",F50=""),"",IF(F$6=1,F82+(F82*1), F82+(F82*2.09090909090909*(F$6-1))))</f>
        <v/>
      </c>
      <c r="G83" s="56"/>
      <c r="H83" s="26" t="s">
        <v>69</v>
      </c>
      <c r="I83" s="10"/>
    </row>
    <row r="84" spans="1:9" hidden="1" x14ac:dyDescent="0.25">
      <c r="B84" s="43" t="str">
        <f>IF(OR(B49="",B50=""),"",IF(B$6=1,800+(800*1.5), 800+(800*0.363636363636364*(B$6-1))))</f>
        <v/>
      </c>
      <c r="C84" s="43"/>
      <c r="D84" s="43" t="str">
        <f>IF(OR(D49="",D50=""),"",IF(D$6=1,800+(800*1.5), 800+(800*0.363636363636364*(D$6-1))))</f>
        <v/>
      </c>
      <c r="E84" s="43"/>
      <c r="F84" s="43" t="str">
        <f>IF(OR(F49="",F50=""),"",IF(F$6=1,800+(800*1.5), 800+(800*0.363636363636364*(F$6-1))))</f>
        <v/>
      </c>
      <c r="G84" s="56"/>
      <c r="H84" s="26" t="s">
        <v>73</v>
      </c>
      <c r="I84" s="10"/>
    </row>
    <row r="85" spans="1:9" hidden="1" x14ac:dyDescent="0.25">
      <c r="B85" s="43" t="str">
        <f>IF(OR(B49="",B50=""),"",IF(B$6=1,1500+(1500*1), 1500+(1500*0.272727272727273*(B$6-1))))</f>
        <v/>
      </c>
      <c r="C85" s="43"/>
      <c r="D85" s="43" t="str">
        <f>IF(OR(D49="",D50=""),"",IF(D$6=1,1500+(1500*1), 1500+(1500*0.272727272727273*(D$6-1))))</f>
        <v/>
      </c>
      <c r="E85" s="43"/>
      <c r="F85" s="43" t="str">
        <f>IF(OR(F49="",F50=""),"",IF(F$6=1,1500+(1500*1), 1500+(1500*0.272727272727273*(F$6-1))))</f>
        <v/>
      </c>
      <c r="G85" s="56"/>
      <c r="H85" s="26" t="s">
        <v>79</v>
      </c>
      <c r="I85" s="10"/>
    </row>
    <row r="86" spans="1:9" hidden="1" x14ac:dyDescent="0.25">
      <c r="B86" s="43" t="str">
        <f>IF(OR(B49="",B50=""),"",IF(B$6=1,6000+(6000*2), 6000+(6000*0.363636363636364*(B$6-1))))</f>
        <v/>
      </c>
      <c r="C86" s="43"/>
      <c r="D86" s="43" t="str">
        <f>IF(OR(D49="",D50=""),"",IF(D$6=1,6000+(6000*2), 6000+(6000*0.363636363636364*(D$6-1))))</f>
        <v/>
      </c>
      <c r="E86" s="43"/>
      <c r="F86" s="43" t="str">
        <f>IF(OR(F49="",F50=""),"",IF(F$6=1,6000+(6000*2), 6000+(6000*0.363636363636364*(F$6-1))))</f>
        <v/>
      </c>
      <c r="G86" s="56"/>
      <c r="H86" s="26" t="s">
        <v>70</v>
      </c>
      <c r="I86" s="10"/>
    </row>
    <row r="87" spans="1:9" hidden="1" x14ac:dyDescent="0.25">
      <c r="B87" s="43" t="str">
        <f>IF(OR(B49="",B50=""),"",ROUNDUP(SUM(B74+B75+B76+B77+B79+B81+B83+B84+B85+B86)*0.1,0))</f>
        <v/>
      </c>
      <c r="C87" s="43"/>
      <c r="D87" s="43" t="str">
        <f>IF(OR(D49="",D50=""),"",ROUNDUP(SUM(D74+D75+D76+D77+D79+D81+D83+D84+D85+D86)*0.1,0))</f>
        <v/>
      </c>
      <c r="E87" s="43"/>
      <c r="F87" s="43" t="str">
        <f>IF(OR(F49="",F50=""),"",ROUNDUP(SUM(F74+F75+F76+F77+F79+F81+F83+F84+F85+F86)*0.1,0))</f>
        <v/>
      </c>
      <c r="G87" s="56"/>
      <c r="H87" s="44" t="s">
        <v>71</v>
      </c>
      <c r="I87" s="10"/>
    </row>
    <row r="88" spans="1:9" ht="8.25" hidden="1" customHeight="1" x14ac:dyDescent="0.25">
      <c r="B88" s="43"/>
      <c r="C88" s="43"/>
      <c r="D88" s="43"/>
      <c r="E88" s="43"/>
      <c r="F88" s="43"/>
      <c r="G88" s="56"/>
      <c r="H88" s="44"/>
    </row>
    <row r="89" spans="1:9" ht="30" hidden="1" customHeight="1" x14ac:dyDescent="0.25">
      <c r="B89" s="45" t="str">
        <f>IF(OR(B49="",B50=""),"",SUM(B74,B75,B76,B77,B79,B81,B83,B84,B85,B86,B87))</f>
        <v/>
      </c>
      <c r="C89" s="46"/>
      <c r="D89" s="45" t="str">
        <f>IF(OR(D49="",D50=""),"",SUM(D74,D75,D76,D77,D79,D81,D83,D84,D85,D86,D87))</f>
        <v/>
      </c>
      <c r="E89" s="46"/>
      <c r="F89" s="45" t="str">
        <f>IF(OR(F49="",F50=""),"",SUM(F74,F75,F76,F77,F79,F81,F83,F84,F85,F86,F87))</f>
        <v/>
      </c>
      <c r="G89" s="57"/>
      <c r="H89" s="44" t="s">
        <v>82</v>
      </c>
      <c r="I89" s="10"/>
    </row>
    <row r="90" spans="1:9" hidden="1" x14ac:dyDescent="0.25">
      <c r="H90" s="47"/>
    </row>
    <row r="91" spans="1:9" ht="30" hidden="1" customHeight="1" x14ac:dyDescent="0.25">
      <c r="A91" s="89" t="s">
        <v>84</v>
      </c>
      <c r="B91" s="89"/>
      <c r="C91" s="89"/>
      <c r="D91" s="89"/>
      <c r="E91" s="89"/>
      <c r="F91" s="89"/>
      <c r="G91" s="89"/>
      <c r="H91" s="89"/>
    </row>
    <row r="92" spans="1:9" hidden="1" x14ac:dyDescent="0.25">
      <c r="A92" s="90" t="s">
        <v>85</v>
      </c>
      <c r="B92" s="90"/>
      <c r="C92" s="90"/>
      <c r="D92" s="90"/>
      <c r="E92" s="90"/>
      <c r="F92" s="90"/>
      <c r="G92" s="90"/>
      <c r="H92" s="90"/>
    </row>
    <row r="93" spans="1:9" hidden="1" x14ac:dyDescent="0.25">
      <c r="A93" s="90"/>
      <c r="B93" s="90"/>
      <c r="C93" s="90"/>
      <c r="D93" s="90"/>
      <c r="E93" s="90"/>
      <c r="F93" s="90"/>
      <c r="G93" s="90"/>
      <c r="H93" s="90"/>
    </row>
    <row r="94" spans="1:9" x14ac:dyDescent="0.25">
      <c r="A94" s="79" t="s">
        <v>162</v>
      </c>
      <c r="B94" s="79"/>
      <c r="C94" s="79"/>
      <c r="D94" s="79"/>
      <c r="E94" s="79"/>
      <c r="F94" s="79"/>
      <c r="G94" s="79"/>
      <c r="H94" s="79"/>
    </row>
    <row r="95" spans="1:9" x14ac:dyDescent="0.25">
      <c r="A95" s="79"/>
      <c r="B95" s="79"/>
      <c r="C95" s="79"/>
      <c r="D95" s="79"/>
      <c r="E95" s="79"/>
      <c r="F95" s="79"/>
      <c r="G95" s="79"/>
      <c r="H95" s="79"/>
    </row>
    <row r="96" spans="1:9" ht="10.5" customHeight="1" x14ac:dyDescent="0.25">
      <c r="A96" s="85" t="s">
        <v>144</v>
      </c>
      <c r="B96" s="85"/>
      <c r="C96" s="85"/>
      <c r="D96" s="85"/>
      <c r="E96" s="85"/>
      <c r="F96" s="85"/>
      <c r="G96" s="85"/>
      <c r="H96" s="85"/>
    </row>
    <row r="97" spans="1:9" ht="25.5" customHeight="1" x14ac:dyDescent="0.25">
      <c r="A97" s="85" t="s">
        <v>143</v>
      </c>
      <c r="B97" s="85"/>
      <c r="C97" s="85"/>
      <c r="D97" s="85"/>
      <c r="E97" s="85"/>
      <c r="F97" s="85"/>
      <c r="G97" s="85"/>
      <c r="H97" s="85"/>
    </row>
    <row r="98" spans="1:9" ht="27" hidden="1" customHeight="1" x14ac:dyDescent="0.25">
      <c r="A98" s="85" t="s">
        <v>88</v>
      </c>
      <c r="B98" s="85"/>
      <c r="C98" s="85"/>
      <c r="D98" s="85"/>
      <c r="E98" s="85"/>
      <c r="F98" s="85"/>
      <c r="G98" s="85"/>
      <c r="H98" s="85"/>
    </row>
    <row r="99" spans="1:9" x14ac:dyDescent="0.25">
      <c r="A99" s="85" t="s">
        <v>142</v>
      </c>
      <c r="B99" s="85"/>
      <c r="C99" s="85"/>
      <c r="D99" s="85"/>
      <c r="E99" s="85"/>
      <c r="F99" s="85"/>
      <c r="G99" s="85"/>
      <c r="H99" s="85"/>
      <c r="I99" s="5"/>
    </row>
  </sheetData>
  <sheetProtection algorithmName="SHA-512" hashValue="LhyYWNVZwLCpnS88s9cfri8KTtwKTa1oWu38kiI568mbJ1nXEe/bnCDFH0uC4I/2mKnrNjR9iAI2wbpdqrqScQ==" saltValue="8emeP1TbhlUUy/Hq9XY0Vg==" spinCount="100000" sheet="1" objects="1" scenarios="1" selectLockedCells="1"/>
  <mergeCells count="11">
    <mergeCell ref="A99:H99"/>
    <mergeCell ref="A98:H98"/>
    <mergeCell ref="A4:I4"/>
    <mergeCell ref="D2:I2"/>
    <mergeCell ref="D3:I3"/>
    <mergeCell ref="A97:H97"/>
    <mergeCell ref="A91:H91"/>
    <mergeCell ref="A92:H92"/>
    <mergeCell ref="A93:H93"/>
    <mergeCell ref="A96:H96"/>
    <mergeCell ref="H31:H32"/>
  </mergeCells>
  <dataValidations count="7">
    <dataValidation type="decimal" allowBlank="1" showInputMessage="1" showErrorMessage="1" sqref="B21:G21 B23:G23">
      <formula1>0.01</formula1>
      <formula2>0.99</formula2>
    </dataValidation>
    <dataValidation type="whole" operator="greaterThanOrEqual" allowBlank="1" showInputMessage="1" showErrorMessage="1" sqref="G6 E6 C6">
      <formula1>1</formula1>
    </dataValidation>
    <dataValidation type="decimal" allowBlank="1" showInputMessage="1" showErrorMessage="1" sqref="B35 D35 F35 B41 D41 F41">
      <formula1>0</formula1>
      <formula2>1</formula2>
    </dataValidation>
    <dataValidation type="decimal" allowBlank="1" showInputMessage="1" showErrorMessage="1" sqref="B37 D37 F37">
      <formula1>1</formula1>
      <formula2>20</formula2>
    </dataValidation>
    <dataValidation type="whole" allowBlank="1" showInputMessage="1" showErrorMessage="1" sqref="B6 D6 F6">
      <formula1>1</formula1>
      <formula2>1000</formula2>
    </dataValidation>
    <dataValidation type="whole" allowBlank="1" showInputMessage="1" showErrorMessage="1" sqref="B33 D33 F33">
      <formula1>1</formula1>
      <formula2>100</formula2>
    </dataValidation>
    <dataValidation type="decimal" allowBlank="1" showInputMessage="1" showErrorMessage="1" sqref="B30 D30 F30">
      <formula1>0</formula1>
      <formula2>9</formula2>
    </dataValidation>
  </dataValidations>
  <hyperlinks>
    <hyperlink ref="I38" r:id="rId1"/>
    <hyperlink ref="I36" r:id="rId2"/>
  </hyperlinks>
  <pageMargins left="0.70866141732283472" right="0.70866141732283472" top="0.74803149606299213" bottom="0.74803149606299213" header="0.31496062992125984" footer="0.31496062992125984"/>
  <pageSetup paperSize="9" scale="67" fitToHeight="4" orientation="portrait"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 tables'!$B$2:$B$3</xm:f>
          </x14:formula1>
          <xm:sqref>B25:G25</xm:sqref>
        </x14:dataValidation>
        <x14:dataValidation type="list" allowBlank="1" showInputMessage="1" showErrorMessage="1">
          <x14:formula1>
            <xm:f>'Look-up tables'!$D$2:$D$3</xm:f>
          </x14:formula1>
          <xm:sqref>B19:G19</xm:sqref>
        </x14:dataValidation>
        <x14:dataValidation type="list" allowBlank="1" showInputMessage="1" showErrorMessage="1">
          <x14:formula1>
            <xm:f>'Look-up tables'!$C$2:$C$3</xm:f>
          </x14:formula1>
          <xm:sqref>B27:G27 E30 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tabSelected="1" topLeftCell="A40" zoomScaleNormal="100" workbookViewId="0">
      <selection activeCell="D40" sqref="A1:D1048576"/>
    </sheetView>
  </sheetViews>
  <sheetFormatPr defaultRowHeight="15" x14ac:dyDescent="0.25"/>
  <cols>
    <col min="1" max="1" width="50.28515625" style="4" customWidth="1"/>
    <col min="2" max="2" width="11.85546875" style="10" customWidth="1"/>
    <col min="3" max="3" width="30.5703125" style="4" customWidth="1"/>
    <col min="4" max="4" width="12.42578125" style="10" customWidth="1"/>
    <col min="5" max="16384" width="9.140625" style="10"/>
  </cols>
  <sheetData>
    <row r="1" spans="1:9" s="14" customFormat="1" ht="20.25" thickBot="1" x14ac:dyDescent="0.35">
      <c r="A1" s="63" t="s">
        <v>93</v>
      </c>
      <c r="B1" s="3"/>
      <c r="C1" s="64"/>
      <c r="D1" s="3"/>
      <c r="E1" s="3"/>
      <c r="F1" s="3"/>
      <c r="G1" s="3"/>
      <c r="H1" s="4"/>
      <c r="I1" s="13"/>
    </row>
    <row r="2" spans="1:9" ht="15.75" thickTop="1" x14ac:dyDescent="0.25"/>
    <row r="3" spans="1:9" x14ac:dyDescent="0.25">
      <c r="A3" s="74"/>
      <c r="B3" s="75" t="s">
        <v>94</v>
      </c>
      <c r="C3" s="74" t="s">
        <v>95</v>
      </c>
      <c r="D3" s="75" t="s">
        <v>96</v>
      </c>
    </row>
    <row r="4" spans="1:9" x14ac:dyDescent="0.25">
      <c r="A4" s="67"/>
      <c r="B4" s="68"/>
      <c r="C4" s="67"/>
      <c r="D4" s="68"/>
    </row>
    <row r="5" spans="1:9" s="71" customFormat="1" x14ac:dyDescent="0.25">
      <c r="A5" s="65" t="s">
        <v>97</v>
      </c>
      <c r="B5" s="66"/>
      <c r="C5" s="65"/>
      <c r="D5" s="66"/>
    </row>
    <row r="6" spans="1:9" x14ac:dyDescent="0.25">
      <c r="A6" s="67"/>
      <c r="B6" s="68">
        <v>9</v>
      </c>
      <c r="C6" s="67" t="s">
        <v>98</v>
      </c>
      <c r="D6" s="68"/>
    </row>
    <row r="7" spans="1:9" x14ac:dyDescent="0.25">
      <c r="A7" s="67"/>
      <c r="B7" s="68"/>
      <c r="C7" s="67" t="s">
        <v>99</v>
      </c>
      <c r="D7" s="68"/>
    </row>
    <row r="8" spans="1:9" x14ac:dyDescent="0.25">
      <c r="A8" s="67"/>
      <c r="B8" s="68"/>
      <c r="C8" s="67" t="s">
        <v>100</v>
      </c>
      <c r="D8" s="68"/>
    </row>
    <row r="9" spans="1:9" s="71" customFormat="1" x14ac:dyDescent="0.25">
      <c r="A9" s="65" t="s">
        <v>65</v>
      </c>
      <c r="B9" s="66"/>
      <c r="C9" s="65"/>
      <c r="D9" s="66"/>
    </row>
    <row r="10" spans="1:9" ht="30" x14ac:dyDescent="0.25">
      <c r="A10" s="67"/>
      <c r="B10" s="68">
        <v>5</v>
      </c>
      <c r="C10" s="67" t="s">
        <v>195</v>
      </c>
      <c r="D10" s="82">
        <v>300000</v>
      </c>
    </row>
    <row r="11" spans="1:9" x14ac:dyDescent="0.25">
      <c r="A11" s="67"/>
      <c r="B11" s="68"/>
      <c r="C11" s="67" t="s">
        <v>196</v>
      </c>
      <c r="D11" s="82">
        <v>190000</v>
      </c>
    </row>
    <row r="12" spans="1:9" x14ac:dyDescent="0.25">
      <c r="A12" s="67"/>
      <c r="B12" s="68"/>
      <c r="C12" s="67" t="s">
        <v>173</v>
      </c>
      <c r="D12" s="68"/>
    </row>
    <row r="13" spans="1:9" s="71" customFormat="1" x14ac:dyDescent="0.25">
      <c r="A13" s="65" t="s">
        <v>103</v>
      </c>
      <c r="B13" s="66"/>
      <c r="C13" s="65"/>
      <c r="D13" s="66"/>
    </row>
    <row r="14" spans="1:9" x14ac:dyDescent="0.25">
      <c r="A14" s="67"/>
      <c r="B14" s="82">
        <v>200000</v>
      </c>
      <c r="C14" s="67" t="s">
        <v>101</v>
      </c>
      <c r="D14" s="68"/>
    </row>
    <row r="15" spans="1:9" s="71" customFormat="1" x14ac:dyDescent="0.25">
      <c r="A15" s="65" t="s">
        <v>102</v>
      </c>
      <c r="B15" s="66"/>
      <c r="C15" s="65"/>
      <c r="D15" s="66"/>
    </row>
    <row r="16" spans="1:9" ht="15.75" customHeight="1" x14ac:dyDescent="0.25">
      <c r="A16" s="67" t="s">
        <v>104</v>
      </c>
      <c r="B16" s="68"/>
      <c r="C16" s="67"/>
      <c r="D16" s="82">
        <v>245000</v>
      </c>
    </row>
    <row r="17" spans="1:4" s="24" customFormat="1" x14ac:dyDescent="0.25">
      <c r="A17" s="72" t="s">
        <v>105</v>
      </c>
      <c r="B17" s="73"/>
      <c r="C17" s="72"/>
      <c r="D17" s="83">
        <v>54000</v>
      </c>
    </row>
    <row r="18" spans="1:4" s="71" customFormat="1" x14ac:dyDescent="0.25">
      <c r="A18" s="65" t="s">
        <v>67</v>
      </c>
      <c r="B18" s="66"/>
      <c r="C18" s="65"/>
      <c r="D18" s="66"/>
    </row>
    <row r="19" spans="1:4" x14ac:dyDescent="0.25">
      <c r="A19" s="72" t="s">
        <v>106</v>
      </c>
      <c r="B19" s="68"/>
      <c r="C19" s="67" t="s">
        <v>174</v>
      </c>
      <c r="D19" s="82">
        <v>320000</v>
      </c>
    </row>
    <row r="20" spans="1:4" x14ac:dyDescent="0.25">
      <c r="A20" s="72" t="s">
        <v>107</v>
      </c>
      <c r="B20" s="68"/>
      <c r="C20" s="67" t="s">
        <v>175</v>
      </c>
      <c r="D20" s="82">
        <v>112000</v>
      </c>
    </row>
    <row r="21" spans="1:4" x14ac:dyDescent="0.25">
      <c r="A21" s="72" t="s">
        <v>108</v>
      </c>
      <c r="B21" s="68"/>
      <c r="C21" s="67"/>
      <c r="D21" s="82">
        <v>10000</v>
      </c>
    </row>
    <row r="22" spans="1:4" x14ac:dyDescent="0.25">
      <c r="A22" s="72" t="s">
        <v>109</v>
      </c>
      <c r="B22" s="68"/>
      <c r="C22" s="67" t="s">
        <v>176</v>
      </c>
      <c r="D22" s="68">
        <v>32000</v>
      </c>
    </row>
    <row r="23" spans="1:4" x14ac:dyDescent="0.25">
      <c r="A23" s="72" t="s">
        <v>110</v>
      </c>
      <c r="B23" s="68"/>
      <c r="C23" s="67" t="s">
        <v>177</v>
      </c>
      <c r="D23" s="82">
        <v>560000</v>
      </c>
    </row>
    <row r="24" spans="1:4" x14ac:dyDescent="0.25">
      <c r="A24" s="72" t="s">
        <v>111</v>
      </c>
      <c r="B24" s="68"/>
      <c r="C24" s="67" t="s">
        <v>178</v>
      </c>
      <c r="D24" s="82">
        <v>35000</v>
      </c>
    </row>
    <row r="25" spans="1:4" s="71" customFormat="1" x14ac:dyDescent="0.25">
      <c r="A25" s="65" t="s">
        <v>68</v>
      </c>
      <c r="B25" s="66"/>
      <c r="C25" s="65"/>
      <c r="D25" s="66"/>
    </row>
    <row r="26" spans="1:4" ht="30" x14ac:dyDescent="0.25">
      <c r="A26" s="72" t="s">
        <v>112</v>
      </c>
      <c r="B26" s="68"/>
      <c r="C26" s="67" t="s">
        <v>179</v>
      </c>
      <c r="D26" s="82">
        <v>360000</v>
      </c>
    </row>
    <row r="27" spans="1:4" x14ac:dyDescent="0.25">
      <c r="A27" s="72" t="s">
        <v>113</v>
      </c>
      <c r="B27" s="68"/>
      <c r="C27" s="67"/>
      <c r="D27" s="68"/>
    </row>
    <row r="28" spans="1:4" x14ac:dyDescent="0.25">
      <c r="A28" s="72" t="s">
        <v>114</v>
      </c>
      <c r="B28" s="68"/>
      <c r="C28" s="67" t="s">
        <v>180</v>
      </c>
      <c r="D28" s="82">
        <v>187500</v>
      </c>
    </row>
    <row r="29" spans="1:4" x14ac:dyDescent="0.25">
      <c r="A29" s="72" t="s">
        <v>115</v>
      </c>
      <c r="B29" s="68"/>
      <c r="C29" s="67" t="s">
        <v>181</v>
      </c>
      <c r="D29" s="82">
        <v>160000</v>
      </c>
    </row>
    <row r="30" spans="1:4" x14ac:dyDescent="0.25">
      <c r="A30" s="72" t="s">
        <v>116</v>
      </c>
      <c r="B30" s="68"/>
      <c r="C30" s="67" t="s">
        <v>182</v>
      </c>
      <c r="D30" s="82">
        <v>100000</v>
      </c>
    </row>
    <row r="31" spans="1:4" x14ac:dyDescent="0.25">
      <c r="A31" s="72" t="s">
        <v>117</v>
      </c>
      <c r="B31" s="68"/>
      <c r="C31" s="67">
        <v>60000</v>
      </c>
      <c r="D31" s="82">
        <v>60000</v>
      </c>
    </row>
    <row r="32" spans="1:4" x14ac:dyDescent="0.25">
      <c r="A32" s="72" t="s">
        <v>118</v>
      </c>
      <c r="B32" s="68"/>
      <c r="C32" s="67" t="s">
        <v>183</v>
      </c>
      <c r="D32" s="82">
        <v>370000</v>
      </c>
    </row>
    <row r="33" spans="1:6" x14ac:dyDescent="0.25">
      <c r="A33" s="72" t="s">
        <v>119</v>
      </c>
      <c r="B33" s="68"/>
      <c r="C33" s="67" t="s">
        <v>184</v>
      </c>
      <c r="D33" s="82">
        <v>800000</v>
      </c>
    </row>
    <row r="34" spans="1:6" x14ac:dyDescent="0.25">
      <c r="A34" s="72" t="s">
        <v>120</v>
      </c>
      <c r="B34" s="68"/>
      <c r="C34" s="67" t="s">
        <v>185</v>
      </c>
      <c r="D34" s="82">
        <v>150000</v>
      </c>
    </row>
    <row r="35" spans="1:6" x14ac:dyDescent="0.25">
      <c r="A35" s="72" t="s">
        <v>121</v>
      </c>
      <c r="B35" s="68"/>
      <c r="C35" s="67" t="s">
        <v>180</v>
      </c>
      <c r="D35" s="82">
        <v>1875000</v>
      </c>
    </row>
    <row r="36" spans="1:6" s="71" customFormat="1" x14ac:dyDescent="0.25">
      <c r="A36" s="65" t="s">
        <v>125</v>
      </c>
      <c r="B36" s="66"/>
      <c r="C36" s="65"/>
      <c r="D36" s="66"/>
    </row>
    <row r="37" spans="1:6" x14ac:dyDescent="0.25">
      <c r="A37" s="72" t="s">
        <v>122</v>
      </c>
      <c r="B37" s="68"/>
      <c r="C37" s="67" t="s">
        <v>186</v>
      </c>
      <c r="D37" s="82">
        <v>2240000</v>
      </c>
    </row>
    <row r="38" spans="1:6" x14ac:dyDescent="0.25">
      <c r="A38" s="72" t="s">
        <v>110</v>
      </c>
      <c r="B38" s="68"/>
      <c r="C38" s="67" t="s">
        <v>187</v>
      </c>
      <c r="D38" s="82">
        <v>6240000</v>
      </c>
    </row>
    <row r="39" spans="1:6" x14ac:dyDescent="0.25">
      <c r="A39" s="72" t="s">
        <v>123</v>
      </c>
      <c r="B39" s="68"/>
      <c r="C39" s="67" t="s">
        <v>188</v>
      </c>
      <c r="D39" s="82">
        <v>10080000</v>
      </c>
    </row>
    <row r="40" spans="1:6" s="71" customFormat="1" x14ac:dyDescent="0.25">
      <c r="A40" s="65" t="s">
        <v>124</v>
      </c>
      <c r="B40" s="66"/>
      <c r="C40" s="65"/>
      <c r="D40" s="66"/>
    </row>
    <row r="41" spans="1:6" x14ac:dyDescent="0.25">
      <c r="A41" s="72" t="s">
        <v>126</v>
      </c>
      <c r="B41" s="68" t="s">
        <v>189</v>
      </c>
      <c r="C41" s="67" t="s">
        <v>127</v>
      </c>
      <c r="D41" s="82">
        <v>27540000</v>
      </c>
    </row>
    <row r="42" spans="1:6" x14ac:dyDescent="0.25">
      <c r="A42" s="72" t="s">
        <v>128</v>
      </c>
      <c r="B42" s="68" t="s">
        <v>190</v>
      </c>
      <c r="C42" s="67"/>
      <c r="D42" s="82">
        <v>400000</v>
      </c>
    </row>
    <row r="43" spans="1:6" x14ac:dyDescent="0.25">
      <c r="A43" s="72" t="s">
        <v>110</v>
      </c>
      <c r="B43" s="68" t="s">
        <v>191</v>
      </c>
      <c r="C43" s="67"/>
      <c r="D43" s="82">
        <v>10500</v>
      </c>
    </row>
    <row r="44" spans="1:6" s="71" customFormat="1" x14ac:dyDescent="0.25">
      <c r="A44" s="65" t="s">
        <v>69</v>
      </c>
      <c r="B44" s="66"/>
      <c r="C44" s="65"/>
      <c r="D44" s="66"/>
    </row>
    <row r="45" spans="1:6" x14ac:dyDescent="0.25">
      <c r="A45" s="72" t="s">
        <v>129</v>
      </c>
      <c r="B45" s="68">
        <v>15000</v>
      </c>
      <c r="C45" s="67"/>
      <c r="D45" s="82">
        <v>15000</v>
      </c>
    </row>
    <row r="46" spans="1:6" x14ac:dyDescent="0.25">
      <c r="A46" s="72" t="s">
        <v>130</v>
      </c>
      <c r="B46" s="68" t="s">
        <v>192</v>
      </c>
      <c r="C46" s="67"/>
      <c r="D46" s="82">
        <v>54000</v>
      </c>
      <c r="F46" s="10" t="s">
        <v>197</v>
      </c>
    </row>
    <row r="47" spans="1:6" s="71" customFormat="1" x14ac:dyDescent="0.25">
      <c r="A47" s="65" t="s">
        <v>131</v>
      </c>
      <c r="B47" s="66"/>
      <c r="C47" s="65"/>
      <c r="D47" s="66"/>
    </row>
    <row r="48" spans="1:6" x14ac:dyDescent="0.25">
      <c r="A48" s="72" t="s">
        <v>132</v>
      </c>
      <c r="B48" s="68" t="s">
        <v>193</v>
      </c>
      <c r="C48" s="67"/>
      <c r="D48" s="82">
        <v>70000</v>
      </c>
    </row>
    <row r="49" spans="1:4" s="71" customFormat="1" x14ac:dyDescent="0.25">
      <c r="A49" s="65" t="s">
        <v>70</v>
      </c>
      <c r="B49" s="66"/>
      <c r="C49" s="65"/>
      <c r="D49" s="66"/>
    </row>
    <row r="50" spans="1:4" x14ac:dyDescent="0.25">
      <c r="A50" s="72" t="s">
        <v>133</v>
      </c>
      <c r="B50" s="82">
        <v>45000</v>
      </c>
      <c r="C50" s="67"/>
      <c r="D50" s="82">
        <v>45000</v>
      </c>
    </row>
    <row r="51" spans="1:4" x14ac:dyDescent="0.25">
      <c r="A51" s="72" t="s">
        <v>134</v>
      </c>
      <c r="B51" s="68"/>
      <c r="C51" s="67"/>
      <c r="D51" s="82">
        <v>200000</v>
      </c>
    </row>
    <row r="52" spans="1:4" x14ac:dyDescent="0.25">
      <c r="A52" s="72" t="s">
        <v>135</v>
      </c>
      <c r="B52" s="68"/>
      <c r="C52" s="67"/>
      <c r="D52" s="82">
        <v>450000</v>
      </c>
    </row>
    <row r="53" spans="1:4" x14ac:dyDescent="0.25">
      <c r="A53" s="72" t="s">
        <v>136</v>
      </c>
      <c r="B53" s="68"/>
      <c r="C53" s="67"/>
      <c r="D53" s="82">
        <v>250000</v>
      </c>
    </row>
    <row r="54" spans="1:4" s="71" customFormat="1" x14ac:dyDescent="0.25">
      <c r="A54" s="65" t="s">
        <v>137</v>
      </c>
      <c r="B54" s="66"/>
      <c r="C54" s="65"/>
      <c r="D54" s="66"/>
    </row>
    <row r="55" spans="1:4" x14ac:dyDescent="0.25">
      <c r="A55" s="72" t="s">
        <v>138</v>
      </c>
      <c r="B55" s="68"/>
      <c r="C55" s="67"/>
      <c r="D55" s="82">
        <v>50000</v>
      </c>
    </row>
    <row r="56" spans="1:4" x14ac:dyDescent="0.25">
      <c r="A56" s="72" t="s">
        <v>139</v>
      </c>
      <c r="B56" s="68"/>
      <c r="C56" s="67"/>
      <c r="D56" s="82">
        <v>60000</v>
      </c>
    </row>
    <row r="57" spans="1:4" s="71" customFormat="1" x14ac:dyDescent="0.25">
      <c r="A57" s="65" t="s">
        <v>140</v>
      </c>
      <c r="B57" s="66"/>
      <c r="C57" s="65"/>
      <c r="D57" s="66"/>
    </row>
    <row r="58" spans="1:4" ht="30" x14ac:dyDescent="0.25">
      <c r="A58" s="67"/>
      <c r="B58" s="68">
        <v>1500</v>
      </c>
      <c r="C58" s="67" t="s">
        <v>194</v>
      </c>
      <c r="D58" s="82">
        <v>2700000</v>
      </c>
    </row>
    <row r="59" spans="1:4" s="71" customFormat="1" x14ac:dyDescent="0.25">
      <c r="A59" s="69" t="s">
        <v>141</v>
      </c>
      <c r="B59" s="70"/>
      <c r="C59" s="69"/>
      <c r="D59" s="84">
        <v>56324000</v>
      </c>
    </row>
    <row r="61" spans="1:4" ht="28.5" customHeight="1" x14ac:dyDescent="0.25">
      <c r="A61" s="92" t="s">
        <v>143</v>
      </c>
      <c r="B61" s="92"/>
      <c r="C61" s="92"/>
      <c r="D61" s="92"/>
    </row>
  </sheetData>
  <mergeCells count="1">
    <mergeCell ref="A61:D61"/>
  </mergeCells>
  <pageMargins left="0.70866141732283472" right="0.70866141732283472" top="0.74803149606299213" bottom="0.74803149606299213" header="0.31496062992125984" footer="0.31496062992125984"/>
  <pageSetup paperSize="9" scale="82" fitToHeight="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A7" sqref="A7"/>
    </sheetView>
  </sheetViews>
  <sheetFormatPr defaultRowHeight="15" x14ac:dyDescent="0.25"/>
  <cols>
    <col min="1" max="1" width="9.140625" style="1"/>
    <col min="2" max="3" width="9.140625" style="2"/>
    <col min="4" max="4" width="9.140625" style="1"/>
  </cols>
  <sheetData>
    <row r="1" spans="1:4" x14ac:dyDescent="0.25">
      <c r="A1" s="1" t="s">
        <v>32</v>
      </c>
      <c r="B1" s="2" t="s">
        <v>35</v>
      </c>
      <c r="C1" s="2" t="s">
        <v>36</v>
      </c>
      <c r="D1" s="1" t="s">
        <v>51</v>
      </c>
    </row>
    <row r="2" spans="1:4" x14ac:dyDescent="0.25">
      <c r="A2" s="1" t="s">
        <v>33</v>
      </c>
      <c r="B2" s="2">
        <v>0.05</v>
      </c>
      <c r="C2" s="2">
        <v>0.8</v>
      </c>
      <c r="D2" s="1" t="s">
        <v>52</v>
      </c>
    </row>
    <row r="3" spans="1:4" x14ac:dyDescent="0.25">
      <c r="A3" s="1" t="s">
        <v>34</v>
      </c>
      <c r="B3" s="2">
        <v>0.1</v>
      </c>
      <c r="C3" s="2">
        <v>0.9</v>
      </c>
      <c r="D3" s="1" t="s">
        <v>53</v>
      </c>
    </row>
    <row r="7" spans="1:4" x14ac:dyDescent="0.25">
      <c r="A7" s="6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Estimation</vt:lpstr>
      <vt:lpstr>Comparative</vt:lpstr>
      <vt:lpstr>Budget template</vt:lpstr>
      <vt:lpstr>Look-up tables</vt:lpstr>
      <vt:lpstr>'Budget template'!Print_Area</vt:lpstr>
      <vt:lpstr>Comparative!Print_Area</vt:lpstr>
      <vt:lpstr>Estimation!Print_Area</vt:lpstr>
    </vt:vector>
  </TitlesOfParts>
  <Company>none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thomson d.r. (drt1g15)</dc:creator>
  <cp:lastModifiedBy>ETHIOPIA</cp:lastModifiedBy>
  <cp:lastPrinted>2017-08-08T05:54:36Z</cp:lastPrinted>
  <dcterms:created xsi:type="dcterms:W3CDTF">2017-07-03T12:23:08Z</dcterms:created>
  <dcterms:modified xsi:type="dcterms:W3CDTF">2017-11-17T16:34:06Z</dcterms:modified>
</cp:coreProperties>
</file>